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446" windowWidth="18540" windowHeight="12705" tabRatio="892" activeTab="2"/>
  </bookViews>
  <sheets>
    <sheet name="Раздел 1" sheetId="1" r:id="rId1"/>
    <sheet name="Раздел 2" sheetId="2" r:id="rId2"/>
    <sheet name="Раздел 4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<sst xmlns="http://schemas.openxmlformats.org/spreadsheetml/2006/main" count="653" uniqueCount="271">
  <si>
    <t>Создание систем противоаварийной и режимной автоматики</t>
  </si>
  <si>
    <t>Прочее новое строительство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</si>
  <si>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</si>
  <si>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</si>
  <si>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</si>
  <si>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</si>
  <si>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</si>
  <si>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</si>
  <si>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</si>
  <si>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</si>
  <si>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</si>
  <si>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</si>
  <si>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</si>
  <si>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</si>
  <si>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</si>
  <si>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</si>
  <si>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</si>
  <si>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</si>
  <si>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</si>
  <si>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</si>
  <si>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</si>
  <si>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</si>
  <si>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</si>
  <si>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</si>
  <si>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</si>
  <si>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</si>
  <si>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</si>
  <si>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** - согласно проектно-сметной документации с учетом перевода в прогнозные цены планируемого периода с НДС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</si>
  <si>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</si>
  <si>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</si>
  <si>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</si>
  <si>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</si>
  <si>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</si>
  <si>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</si>
  <si>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</si>
  <si>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</si>
  <si>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</si>
  <si>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Строительство объектов электросетевого хозяйства для электроснабжения малоэтажной застройки в Восточной части за ул. Олимпийской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</si>
  <si>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</si>
  <si>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</si>
  <si>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</si>
  <si>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</si>
  <si>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</si>
  <si>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</si>
  <si>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</si>
  <si>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</si>
  <si>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</si>
  <si>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</si>
  <si>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</si>
  <si>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</si>
  <si>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</si>
  <si>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</si>
  <si>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</si>
  <si>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1.3.1</t>
  </si>
  <si>
    <t>2.1.1</t>
  </si>
  <si>
    <t>2.1.2</t>
  </si>
  <si>
    <t>2.1.3</t>
  </si>
  <si>
    <t>2.1.4</t>
  </si>
  <si>
    <t>2.1.5</t>
  </si>
  <si>
    <t>2.1.6</t>
  </si>
  <si>
    <t>2.1.7</t>
  </si>
  <si>
    <t>2.2.1</t>
  </si>
  <si>
    <t>2.2.2</t>
  </si>
  <si>
    <t>2.2.3</t>
  </si>
  <si>
    <t>ТП-10/0,4 кВ</t>
  </si>
  <si>
    <t>КЛ-10 кВ</t>
  </si>
  <si>
    <t>КЛ-0,4 кВ</t>
  </si>
  <si>
    <t>ВЛ-0,4 кВ</t>
  </si>
  <si>
    <t>Реконструкция РП-10 кВ</t>
  </si>
  <si>
    <t>Приобретение автотранспорта</t>
  </si>
  <si>
    <t>Замена индукционных реле РТ-80,РТВ и РТМ на электронные реле РС-80</t>
  </si>
  <si>
    <t>2.3.1</t>
  </si>
  <si>
    <t>2.3.2</t>
  </si>
  <si>
    <t>2.3.3</t>
  </si>
  <si>
    <t>2.1.8</t>
  </si>
  <si>
    <t>2.1.9</t>
  </si>
  <si>
    <t>Модернизация АИИС КУЭ нижнего уровня</t>
  </si>
  <si>
    <t>Нов. строительство КЛ-10 кВ ГПП Искра - РП Индустриального района №2, 5, 14</t>
  </si>
  <si>
    <t>Газ - 27057 - 1 ед.</t>
  </si>
  <si>
    <t>Газ - 27527 - 2 ед.</t>
  </si>
  <si>
    <t>Развитие и поддержание в работоспособном состоянии  информационой системы предприятия</t>
  </si>
  <si>
    <t>2.1.10</t>
  </si>
  <si>
    <t>2.1.11</t>
  </si>
  <si>
    <t>2.1.12</t>
  </si>
  <si>
    <t>2.1.13</t>
  </si>
  <si>
    <t>2.1.14</t>
  </si>
  <si>
    <t>2.1.15</t>
  </si>
  <si>
    <t>2.1.16</t>
  </si>
  <si>
    <t>Реконструкция РУ-0,4 кВ ТП с заменой вводных автоматических выключателей типа APU-30 и APU-50 на автоматические выключатели типа ВА в (ТП-343,400,906,95 и РУ-0,4 кВ РП-11 и т.д.)</t>
  </si>
  <si>
    <t>Реконструкция РУ-10 кВ ТП с заменой разъединителей 10 кВ  типа РВ (разъединитель высоковольтный) на выключатели нагрузки типа ВНР (выключатель нагрузки с ручным приводом) и ВНА</t>
  </si>
  <si>
    <t>Реконструкция РП-27 с установкой 24 новых камер КРУ-С</t>
  </si>
  <si>
    <t>Строительство объектов электросетевого хозяйства с целью технологического присоединения энергоустановок потребителей к электрическим сетям максимальной мощностью до 15 кВт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</si>
  <si>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</si>
  <si>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</si>
  <si>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</si>
  <si>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</si>
  <si>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</si>
  <si>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</si>
  <si>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</si>
  <si>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</si>
  <si>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</si>
  <si>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Причины отклонений</t>
  </si>
  <si>
    <t>всего</t>
  </si>
  <si>
    <t>факт</t>
  </si>
  <si>
    <t>1.4.</t>
  </si>
  <si>
    <t>Наименование объекта</t>
  </si>
  <si>
    <t xml:space="preserve">ВСЕГО, </t>
  </si>
  <si>
    <t>Новое строительство</t>
  </si>
  <si>
    <t>2.5.</t>
  </si>
  <si>
    <t>млн.рублей</t>
  </si>
  <si>
    <t>Справочно:</t>
  </si>
  <si>
    <t>2.6.</t>
  </si>
  <si>
    <t>* план в соответствии с утвержденной инвестиционной программой</t>
  </si>
  <si>
    <t>план*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</si>
  <si>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</si>
  <si>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</si>
  <si>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</si>
  <si>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</si>
  <si>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</si>
  <si>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</si>
  <si>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</si>
  <si>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</si>
  <si>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</si>
  <si>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</si>
  <si>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план**</t>
  </si>
  <si>
    <t>факт***</t>
  </si>
  <si>
    <t>ГАЗ-33086 (подъемник)</t>
  </si>
  <si>
    <t>Нов. строительство КЛ-10 кВ ТП-11а - КТПН-56</t>
  </si>
  <si>
    <t xml:space="preserve">Нов. строительство КЛ-10 кВ РП-25 - РП-9. </t>
  </si>
  <si>
    <t xml:space="preserve">Нов. строительство КЛ-10 кВ РП 5 яч.5 - ТП 31 яч. 5. </t>
  </si>
  <si>
    <t xml:space="preserve">Нов. строительство КЛ-10 кВ РП 2 яч.10 - ТП 31 яч. 4. </t>
  </si>
  <si>
    <t xml:space="preserve">Нов. строительство  КЛ-10 кВ РПП 1 - РП 9. </t>
  </si>
  <si>
    <t xml:space="preserve">Нов. строительство КЛ-10 кВ РП 27 - ТП 1064 </t>
  </si>
  <si>
    <t xml:space="preserve">Нов. строительство КЛ-10 кВ РП 23 - ТП 37. </t>
  </si>
  <si>
    <t xml:space="preserve">Нов. строительство КЛ-10 кВ РП 17 - ТП 348. </t>
  </si>
  <si>
    <t>Реконструкция системы отопления РП-10 кВ</t>
  </si>
  <si>
    <t>Реконструкция РП-6 с заменой вводных и секционного МВ на ВВ, реконструкция схемы РЗА</t>
  </si>
  <si>
    <t>Реконструкция РП-8 с заменой вводных и секционного МВ на ВВ, реконструкция схемы РЗА</t>
  </si>
  <si>
    <t>Реконструкция РП-10 с заменой вводных и секционного МВ на ВВ, реконструкция схемы РЗА</t>
  </si>
  <si>
    <t>Реконструкция РП-24 с заменой вводных и секционного МВ на ВВ, реконструкция схемы РЗА</t>
  </si>
  <si>
    <t>Нов. строительство КЛ-0,4 кВ ТП 388 - пер. Клубный, 4</t>
  </si>
  <si>
    <t>Нов. строительство КЛ-0,4 кВ ТП 376 - ул.Ломоносова, 45</t>
  </si>
  <si>
    <t>Нов. строительство КЛ-0,4 кВ ТП 369 - ул.Металлургов, 23</t>
  </si>
  <si>
    <t>Нов. строительство КЛ-0,4 кВ ТП 362 - ул.Ленина,110б</t>
  </si>
  <si>
    <t>Нов. строительство КЛ-0,4 кВ ТП 359 - ул. Металлургов, 9</t>
  </si>
  <si>
    <t xml:space="preserve">Реконструкция  Серов переулок выход с ТП 63 заменой провода, заменой вводов на жилые дома. </t>
  </si>
  <si>
    <t xml:space="preserve">Реконструкция ВЛ-0,4 кВ Улица Линейная, переулок Болотный выход с ТП 57 с заменой провода. </t>
  </si>
  <si>
    <t xml:space="preserve">Реконструкция ВЛ-0,4 кВ Улица Карла Либнехта выход с ТП 35 с заменой провода. </t>
  </si>
  <si>
    <t xml:space="preserve">Реконструкция ВЛ-0,4 кВ Улица Мелиоративная выход с ТП 57 с заменой провода. </t>
  </si>
  <si>
    <t>Реконструкция ВЛ-0,4 кВ Улица Дементьевская выход с ТП 57 с заменой провода.</t>
  </si>
  <si>
    <t>Реконструкция ВЛ-0,4 кВ Улица Верещагина выход с ТП 35 с заменой провода.</t>
  </si>
  <si>
    <t>Строительство объектов электросетевого хозяйства с целью технологического присоединения энергоустановок потребителей к электрическим сетям максимальной мощностью от 15 кВт</t>
  </si>
  <si>
    <t>КЛ-0,4кВ ТП-2114 - ул.Транспортная,83</t>
  </si>
  <si>
    <t>Нов. строительство ВЛ-0,4 кВ ТП-73 Советский пр. с оп. №1</t>
  </si>
  <si>
    <t>Нов. строительство ВЛ-0,4 кВ ТП-73 ул. Дзержинского. с оп. №32</t>
  </si>
  <si>
    <t>Реконструкция РП-12 с заменой вводных и секционного МВ на ВВ, реконструкция схемы РЗА</t>
  </si>
  <si>
    <t>Реконструкция РП-1</t>
  </si>
  <si>
    <t>Реконструкция РП-2</t>
  </si>
  <si>
    <t>1.1.16</t>
  </si>
  <si>
    <t>1.1.17</t>
  </si>
  <si>
    <t>Реконструкция ТП-213</t>
  </si>
  <si>
    <t>Реконструкция ТП-552</t>
  </si>
  <si>
    <t>Реконструкция ВЛ-0,4 кВ Улица Курманова, ул. Андреевская</t>
  </si>
  <si>
    <t>Прочее приобретение (эл.оборудование)</t>
  </si>
  <si>
    <t>КЛ-10 кВ РП-12 - РП-255</t>
  </si>
  <si>
    <t>Нов. строительство ВЛ-0,4 кВ ТП-811 - ТП-58</t>
  </si>
  <si>
    <t>КЛ-0,4 кВ БКТП-549 до ж/д по ул.Загородной,2</t>
  </si>
  <si>
    <t>КЛ-0,4 кВ ТП-"Электросеть" - ВРУ Милютина,1</t>
  </si>
  <si>
    <t>2.1.17</t>
  </si>
  <si>
    <t>2.1.18</t>
  </si>
  <si>
    <t>2.1.19</t>
  </si>
  <si>
    <t>КЛ-10 кВ РП-24 - РП-8</t>
  </si>
  <si>
    <t>Реконструкция ВЛ-0,4 кВ ТП-2112 по ул. Песчаной</t>
  </si>
  <si>
    <t>2.1.21</t>
  </si>
  <si>
    <t>2.1.22</t>
  </si>
  <si>
    <t>2.1.23</t>
  </si>
  <si>
    <t>Нов.строительство КЛ-0,4кВ ул. Металлургов, 9 - ул. Сталеваров, 51</t>
  </si>
  <si>
    <t>Нов.строительство КЛ-10кВ ПС-220кв Первомайская</t>
  </si>
  <si>
    <t>2.2.4</t>
  </si>
  <si>
    <t>2.2.5</t>
  </si>
  <si>
    <t>Внедрение интегрированной системы охраны объектов электросетевого хозяйства предприятия</t>
  </si>
  <si>
    <t>Уаз - 390995-421 - 2 ед.</t>
  </si>
  <si>
    <t>2.3.4</t>
  </si>
  <si>
    <t>Приобретение испытательной установки для диагностики КЛ-10 и 0,4 кВ</t>
  </si>
  <si>
    <t>2.1.20</t>
  </si>
  <si>
    <t>КЛ-10 кВ ГПП Заягорба яч 409 РП-11 яч 14</t>
  </si>
  <si>
    <t>КЛ-10 кВ ГПП Первомайская яч 103 РП-11 яч 3</t>
  </si>
  <si>
    <t>КЛ-10 кВ ГПП Первомайская яч 110 РП-10 яч 8</t>
  </si>
  <si>
    <t>2.1.24</t>
  </si>
  <si>
    <t>2.1.25</t>
  </si>
  <si>
    <t>2.1.26</t>
  </si>
  <si>
    <t>2.1.27</t>
  </si>
  <si>
    <t>2.1.28</t>
  </si>
  <si>
    <t>Кл-0,4 кВ ж/д Чкалова 4 - Чкалова 2/30</t>
  </si>
  <si>
    <t>Кл-0,4 кВ ж/д Чкалова 6 - Чкалова 4</t>
  </si>
  <si>
    <t>Кл-0,4 кВ ж/д Чкалова 8 - Чкалова 6</t>
  </si>
  <si>
    <t>Кл-0,4 кВ ТП-322 до ж/д Чкалова 8</t>
  </si>
  <si>
    <t>Кл-0,4 кВ РП-28-ВРУ ГСК Роща</t>
  </si>
  <si>
    <t>Кл-0,4 кВ РП-28 ВРУ К. Белова 36-2</t>
  </si>
  <si>
    <t>2.6.1</t>
  </si>
  <si>
    <t>2.6.2</t>
  </si>
  <si>
    <t>2.6.3</t>
  </si>
  <si>
    <t>2.6.4</t>
  </si>
  <si>
    <t>Нов. строительство ВЛ-0,4 кВ ТП-37 ул. Механизаторов, д.4</t>
  </si>
  <si>
    <t>2.6.5</t>
  </si>
  <si>
    <t>Нов. строительство ВЛ-0,4 кВ ТП-26  от оп№6 по ул. Биржевой</t>
  </si>
  <si>
    <t>1.1.18</t>
  </si>
  <si>
    <t>2.1.29</t>
  </si>
  <si>
    <t>2.1.30</t>
  </si>
  <si>
    <t>2.1.31</t>
  </si>
  <si>
    <t>2.1.32</t>
  </si>
  <si>
    <t>СИП-4 (4х95)</t>
  </si>
  <si>
    <t>СВ-95</t>
  </si>
  <si>
    <t>СИП-4 (4х50)</t>
  </si>
  <si>
    <t xml:space="preserve">Реконструкция  переулок Каменный выход с ТП 63 заменой провода, заменой вводов на жилые дома. </t>
  </si>
  <si>
    <t>АВВГ 4х120</t>
  </si>
  <si>
    <t>ААШв-10-3х240</t>
  </si>
  <si>
    <t>Нов. строительство КЛ-10 кВ ТП-11а - КТПН-56 в пос. Кадуй</t>
  </si>
  <si>
    <t>ААШв-10-3х95</t>
  </si>
  <si>
    <t>ААШв</t>
  </si>
  <si>
    <t>31            15</t>
  </si>
  <si>
    <t>АВВГ   СИП</t>
  </si>
  <si>
    <t>3,148  5,323</t>
  </si>
  <si>
    <t>АВВГ</t>
  </si>
  <si>
    <t>АВВГ, СИП</t>
  </si>
  <si>
    <t xml:space="preserve">0,075 0,055  </t>
  </si>
  <si>
    <t>15            31</t>
  </si>
  <si>
    <t>СИП     АВВГ</t>
  </si>
  <si>
    <t>0,065    0,094</t>
  </si>
  <si>
    <t>СИП</t>
  </si>
  <si>
    <t>0,38        0,05</t>
  </si>
  <si>
    <t>ААШв-3х185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</si>
  <si>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</si>
  <si>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</si>
  <si>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</si>
  <si>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</si>
  <si>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</si>
  <si>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1 кв. 2009 г.</t>
  </si>
  <si>
    <t>2 кв. 2009 г.</t>
  </si>
  <si>
    <t>3 кв. 2009 г.</t>
  </si>
  <si>
    <t>4 кв. 2009 г.</t>
  </si>
  <si>
    <t>2014 г.</t>
  </si>
  <si>
    <t>КЛ-10 кВ РП-12 - ТП-255</t>
  </si>
  <si>
    <t>план **</t>
  </si>
  <si>
    <t>Объем финансирования                     2014 год</t>
  </si>
  <si>
    <t>Ввод мощностей
2014 год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</si>
  <si>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</si>
  <si>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Приложение № 9 (раздел I) к форме 1.1</t>
  </si>
  <si>
    <t>(наименование организации)</t>
  </si>
  <si>
    <t>форма утверждена</t>
  </si>
  <si>
    <t>Приказом Минэнерго России от 11.08.2011 № 347</t>
  </si>
  <si>
    <t>(адрес организации)</t>
  </si>
  <si>
    <r>
      <t xml:space="preserve">Сроки опубликования: </t>
    </r>
    <r>
      <rPr>
        <b/>
        <u val="single"/>
        <sz val="11"/>
        <rFont val="Times New Roman"/>
        <family val="1"/>
      </rPr>
      <t>ежегодно, до 1 марта</t>
    </r>
  </si>
  <si>
    <t>ФОРМА</t>
  </si>
  <si>
    <t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</t>
  </si>
  <si>
    <t>информации об отчетах о реализации инвестиционных программ субъектов естественных монополий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</si>
  <si>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</si>
  <si>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</si>
  <si>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</si>
  <si>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</si>
  <si>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</si>
  <si>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Раздел I. Отчет об исполнении инвестиционной программы, млн. рублей с НДС</t>
  </si>
  <si>
    <t>Приложение № 9 (разделы II-IV) к форме 1.1</t>
  </si>
  <si>
    <t>Раздел II.2. Отчет о технических характеристиках объектов и об исполнении основных этапов работ по реализации инвестиционной программы субъекта естественной монополии в отчетном году</t>
  </si>
  <si>
    <t>Раздел IV. Отчет о вводах объектов</t>
  </si>
  <si>
    <t>http://cherel.ru/</t>
  </si>
  <si>
    <t>2014 год</t>
  </si>
  <si>
    <t>1,260/ 6,35</t>
  </si>
  <si>
    <t>Строительство объектов электросетевого хозяйства с целью технологического присоединения энергоустановок потребителей к электрическим сетям максимальной мощностью от 15 кВт b dsit</t>
  </si>
  <si>
    <t>1,260/ 2,306</t>
  </si>
  <si>
    <t>1,260/ 7,75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</si>
</sst>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"/>
    <numFmt numFmtId="178" formatCode="0.00000"/>
    <numFmt numFmtId="179" formatCode="#,##0.000000"/>
    <numFmt numFmtId="180" formatCode="#,##0.0000000"/>
    <numFmt numFmtId="181" formatCode="#,##0.00000000"/>
    <numFmt numFmtId="182" formatCode="#,##0.0000"/>
    <numFmt numFmtId="183" formatCode="#,##0.00000"/>
  </numFmts>
  <fonts count="38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2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distributed" wrapText="1"/>
    </xf>
    <xf numFmtId="0" fontId="21" fillId="0" borderId="10" xfId="0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56" applyFont="1" applyFill="1" applyBorder="1" applyAlignment="1">
      <alignment vertical="center" wrapText="1"/>
      <protection/>
    </xf>
    <xf numFmtId="0" fontId="21" fillId="0" borderId="10" xfId="0" applyFont="1" applyFill="1" applyBorder="1" applyAlignment="1">
      <alignment vertical="center"/>
    </xf>
    <xf numFmtId="49" fontId="29" fillId="0" borderId="13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16" fontId="29" fillId="0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Alignment="1">
      <alignment horizontal="center" vertical="center"/>
    </xf>
    <xf numFmtId="0" fontId="3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1" fontId="1" fillId="0" borderId="0" xfId="0" applyNumberFormat="1" applyFont="1" applyAlignment="1">
      <alignment horizontal="left" vertical="top"/>
    </xf>
    <xf numFmtId="0" fontId="1" fillId="0" borderId="19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9" fillId="0" borderId="15" xfId="0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8" xfId="56" applyFont="1" applyFill="1" applyBorder="1" applyAlignment="1">
      <alignment vertical="center" wrapText="1"/>
      <protection/>
    </xf>
    <xf numFmtId="0" fontId="21" fillId="0" borderId="28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/>
    </xf>
    <xf numFmtId="0" fontId="21" fillId="0" borderId="28" xfId="0" applyFont="1" applyFill="1" applyBorder="1" applyAlignment="1">
      <alignment vertical="center"/>
    </xf>
    <xf numFmtId="0" fontId="29" fillId="0" borderId="28" xfId="0" applyFont="1" applyFill="1" applyBorder="1" applyAlignment="1">
      <alignment wrapText="1"/>
    </xf>
    <xf numFmtId="0" fontId="21" fillId="0" borderId="2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1" fontId="1" fillId="0" borderId="10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8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3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8" fillId="0" borderId="31" xfId="0" applyFont="1" applyBorder="1" applyAlignment="1">
      <alignment horizontal="center" vertical="justify"/>
    </xf>
    <xf numFmtId="0" fontId="24" fillId="0" borderId="0" xfId="0" applyFont="1" applyAlignment="1">
      <alignment horizont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0" borderId="32" xfId="0" applyFont="1" applyFill="1" applyBorder="1" applyAlignment="1">
      <alignment horizontal="center"/>
    </xf>
    <xf numFmtId="0" fontId="1" fillId="20" borderId="31" xfId="0" applyFont="1" applyFill="1" applyBorder="1" applyAlignment="1">
      <alignment horizontal="center"/>
    </xf>
    <xf numFmtId="0" fontId="1" fillId="20" borderId="33" xfId="0" applyFont="1" applyFill="1" applyBorder="1" applyAlignment="1">
      <alignment horizontal="center"/>
    </xf>
    <xf numFmtId="0" fontId="35" fillId="0" borderId="10" xfId="42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0" fontId="1" fillId="20" borderId="38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0" borderId="39" xfId="0" applyFont="1" applyFill="1" applyBorder="1" applyAlignment="1">
      <alignment horizontal="center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20" borderId="35" xfId="0" applyFont="1" applyFill="1" applyBorder="1" applyAlignment="1">
      <alignment horizontal="center"/>
    </xf>
    <xf numFmtId="0" fontId="1" fillId="20" borderId="30" xfId="0" applyFont="1" applyFill="1" applyBorder="1" applyAlignment="1">
      <alignment horizontal="center"/>
    </xf>
    <xf numFmtId="0" fontId="1" fillId="20" borderId="37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/>
    </xf>
    <xf numFmtId="0" fontId="27" fillId="0" borderId="28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Инвестиции Сети Сбыты ЭС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54;&#1041;&#1052;&#1045;&#1053;&#1053;&#1048;&#1050;%20&#1060;&#1040;&#1049;&#1051;&#1040;&#1052;&#1048;\&#1055;&#1069;&#1054;\&#1054;&#1090;&#1095;&#1077;&#1090;%20&#1048;&#1085;&#1074;&#1077;&#1089;&#1090;%20&#1087;&#1088;&#1086;&#1075;&#1088;&#1072;&#1084;&#1084;&#1072;%202012-2014%204%20&#1082;&#1074;%20%20&#108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7.1"/>
      <sheetName val="Приложение 7.2."/>
      <sheetName val="приложение 8"/>
      <sheetName val="приложение 12"/>
      <sheetName val="Приложение 6.3"/>
      <sheetName val="Приложение 9"/>
      <sheetName val="Приложение 11.1.11"/>
      <sheetName val="Приложение 11.1.10"/>
      <sheetName val="Приложение 11.1.9"/>
      <sheetName val="Приложение 11.1.8"/>
    </sheetNames>
    <sheetDataSet>
      <sheetData sheetId="0">
        <row r="88">
          <cell r="B88" t="str">
            <v>Реконструкция системы отопления РП-10 кВ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8"/>
  <sheetViews>
    <sheetView zoomScale="80" zoomScaleNormal="80" zoomScalePageLayoutView="0" workbookViewId="0" topLeftCell="A1">
      <selection activeCell="G96" sqref="G96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7" width="14.50390625" style="35" customWidth="1"/>
    <col min="8" max="8" width="17.75390625" style="35" customWidth="1"/>
    <col min="9" max="9" width="16.875" style="46" customWidth="1"/>
    <col min="10" max="10" width="18.25390625" style="36" customWidth="1"/>
    <col min="11" max="11" width="12.25390625" style="36" customWidth="1"/>
    <col min="12" max="12" width="6.25390625" style="1" customWidth="1"/>
    <col min="13" max="14" width="14.375" style="1" customWidth="1"/>
    <col min="15" max="15" width="37.50390625" style="1" customWidth="1"/>
    <col min="16" max="16384" width="9.00390625" style="1" customWidth="1"/>
  </cols>
  <sheetData>
    <row r="1" spans="1:15" s="106" customFormat="1" ht="29.25" customHeight="1">
      <c r="A1" s="118" t="s">
        <v>246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="106" customFormat="1" ht="9.75" customHeight="1"/>
    <row r="3" spans="2:15" s="106" customFormat="1" ht="15">
      <c r="B3" s="119"/>
      <c r="C3" s="119"/>
      <c r="D3" s="119"/>
      <c r="M3" s="120" t="s">
        <v>247</v>
      </c>
      <c r="N3" s="120"/>
      <c r="O3" s="120"/>
    </row>
    <row r="4" spans="2:15" s="106" customFormat="1" ht="15">
      <c r="B4" s="121" t="s">
        <v>248</v>
      </c>
      <c r="C4" s="121"/>
      <c r="D4" s="121"/>
      <c r="M4" s="122" t="s">
        <v>249</v>
      </c>
      <c r="N4" s="122"/>
      <c r="O4" s="122"/>
    </row>
    <row r="5" spans="2:15" s="106" customFormat="1" ht="15">
      <c r="B5" s="119"/>
      <c r="C5" s="119"/>
      <c r="D5" s="119"/>
      <c r="M5" s="122" t="s">
        <v>250</v>
      </c>
      <c r="N5" s="122"/>
      <c r="O5" s="122"/>
    </row>
    <row r="6" spans="2:15" s="106" customFormat="1" ht="15">
      <c r="B6" s="121" t="s">
        <v>251</v>
      </c>
      <c r="C6" s="121"/>
      <c r="D6" s="121"/>
      <c r="L6" s="120" t="s">
        <v>252</v>
      </c>
      <c r="M6" s="120"/>
      <c r="N6" s="120"/>
      <c r="O6" s="120"/>
    </row>
    <row r="7" spans="1:15" s="8" customFormat="1" ht="15.75">
      <c r="A7" s="130" t="s">
        <v>253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</row>
    <row r="8" spans="1:15" s="8" customFormat="1" ht="15.75">
      <c r="A8" s="146" t="s">
        <v>254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</row>
    <row r="9" spans="1:15" s="8" customFormat="1" ht="15.75">
      <c r="A9" s="151" t="s">
        <v>255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3"/>
    </row>
    <row r="10" spans="1:15" s="108" customFormat="1" ht="15.7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s="108" customFormat="1" ht="15.75" customHeight="1">
      <c r="A11" s="107"/>
      <c r="B11" s="107"/>
      <c r="C11" s="154" t="s">
        <v>256</v>
      </c>
      <c r="D11" s="154"/>
      <c r="E11" s="109" t="s">
        <v>257</v>
      </c>
      <c r="F11" s="109"/>
      <c r="G11" s="110"/>
      <c r="H11" s="155"/>
      <c r="I11" s="155"/>
      <c r="J11" s="107"/>
      <c r="K11" s="107"/>
      <c r="L11" s="107"/>
      <c r="M11" s="107"/>
      <c r="N11" s="107"/>
      <c r="O11" s="107"/>
    </row>
    <row r="12" spans="1:15" s="108" customFormat="1" ht="15.75">
      <c r="A12" s="107"/>
      <c r="B12" s="107"/>
      <c r="C12" s="154"/>
      <c r="D12" s="154"/>
      <c r="E12" s="156" t="s">
        <v>258</v>
      </c>
      <c r="F12" s="156"/>
      <c r="G12" s="156"/>
      <c r="H12" s="133" t="s">
        <v>265</v>
      </c>
      <c r="I12" s="117"/>
      <c r="J12" s="107"/>
      <c r="K12" s="107"/>
      <c r="L12" s="107"/>
      <c r="M12" s="107"/>
      <c r="N12" s="107"/>
      <c r="O12" s="107"/>
    </row>
    <row r="13" spans="1:15" s="108" customFormat="1" ht="15.75" customHeight="1">
      <c r="A13" s="107"/>
      <c r="B13" s="107"/>
      <c r="C13" s="145" t="s">
        <v>259</v>
      </c>
      <c r="D13" s="145"/>
      <c r="E13" s="145"/>
      <c r="F13" s="145"/>
      <c r="G13" s="145"/>
      <c r="H13" s="143">
        <v>42062</v>
      </c>
      <c r="I13" s="144"/>
      <c r="J13" s="107"/>
      <c r="K13" s="107"/>
      <c r="L13" s="107"/>
      <c r="M13" s="107"/>
      <c r="N13" s="107"/>
      <c r="O13" s="107"/>
    </row>
    <row r="14" spans="1:15" s="108" customFormat="1" ht="15.75">
      <c r="A14" s="107"/>
      <c r="B14" s="107"/>
      <c r="C14" s="116" t="s">
        <v>260</v>
      </c>
      <c r="D14" s="116"/>
      <c r="E14" s="116"/>
      <c r="F14" s="116"/>
      <c r="G14" s="116"/>
      <c r="H14" s="117" t="s">
        <v>266</v>
      </c>
      <c r="I14" s="117"/>
      <c r="J14" s="107"/>
      <c r="K14" s="107"/>
      <c r="L14" s="107"/>
      <c r="M14" s="107"/>
      <c r="N14" s="107"/>
      <c r="O14" s="107"/>
    </row>
    <row r="15" s="106" customFormat="1" ht="12" customHeight="1"/>
    <row r="16" s="111" customFormat="1" ht="14.25">
      <c r="A16" s="111" t="s">
        <v>261</v>
      </c>
    </row>
    <row r="17" ht="16.5" thickBot="1"/>
    <row r="18" spans="1:15" ht="15.75" customHeight="1">
      <c r="A18" s="137" t="s">
        <v>100</v>
      </c>
      <c r="B18" s="139" t="s">
        <v>105</v>
      </c>
      <c r="C18" s="139" t="s">
        <v>8</v>
      </c>
      <c r="D18" s="135" t="s">
        <v>244</v>
      </c>
      <c r="E18" s="140"/>
      <c r="F18" s="135" t="s">
        <v>245</v>
      </c>
      <c r="G18" s="140"/>
      <c r="H18" s="149" t="s">
        <v>6</v>
      </c>
      <c r="I18" s="135" t="s">
        <v>7</v>
      </c>
      <c r="J18" s="149" t="s">
        <v>9</v>
      </c>
      <c r="K18" s="139" t="s">
        <v>123</v>
      </c>
      <c r="L18" s="139"/>
      <c r="M18" s="139"/>
      <c r="N18" s="139"/>
      <c r="O18" s="127" t="s">
        <v>101</v>
      </c>
    </row>
    <row r="19" spans="1:15" ht="45.75" customHeight="1">
      <c r="A19" s="138"/>
      <c r="B19" s="129"/>
      <c r="C19" s="129"/>
      <c r="D19" s="141"/>
      <c r="E19" s="142"/>
      <c r="F19" s="141"/>
      <c r="G19" s="142"/>
      <c r="H19" s="150"/>
      <c r="I19" s="136"/>
      <c r="J19" s="150"/>
      <c r="K19" s="150" t="s">
        <v>109</v>
      </c>
      <c r="L19" s="129" t="s">
        <v>117</v>
      </c>
      <c r="M19" s="129" t="s">
        <v>115</v>
      </c>
      <c r="N19" s="129"/>
      <c r="O19" s="128"/>
    </row>
    <row r="20" spans="1:15" ht="79.5" thickBot="1">
      <c r="A20" s="138"/>
      <c r="B20" s="129"/>
      <c r="C20" s="129"/>
      <c r="D20" s="37" t="s">
        <v>124</v>
      </c>
      <c r="E20" s="37" t="s">
        <v>125</v>
      </c>
      <c r="F20" s="37" t="s">
        <v>243</v>
      </c>
      <c r="G20" s="37" t="s">
        <v>103</v>
      </c>
      <c r="H20" s="37" t="s">
        <v>102</v>
      </c>
      <c r="I20" s="37" t="s">
        <v>102</v>
      </c>
      <c r="J20" s="150"/>
      <c r="K20" s="150"/>
      <c r="L20" s="129"/>
      <c r="M20" s="7" t="s">
        <v>114</v>
      </c>
      <c r="N20" s="7" t="s">
        <v>116</v>
      </c>
      <c r="O20" s="128"/>
    </row>
    <row r="21" spans="1:15" ht="15.75">
      <c r="A21" s="26"/>
      <c r="B21" s="25" t="s">
        <v>106</v>
      </c>
      <c r="C21" s="10"/>
      <c r="D21" s="38"/>
      <c r="E21" s="39"/>
      <c r="F21" s="38"/>
      <c r="G21" s="39"/>
      <c r="H21" s="39"/>
      <c r="I21" s="47"/>
      <c r="J21" s="39"/>
      <c r="K21" s="39"/>
      <c r="L21" s="4"/>
      <c r="M21" s="4"/>
      <c r="N21" s="4"/>
      <c r="O21" s="5"/>
    </row>
    <row r="22" spans="1:15" ht="27.75" customHeight="1">
      <c r="A22" s="33">
        <v>1</v>
      </c>
      <c r="B22" s="24" t="s">
        <v>122</v>
      </c>
      <c r="C22" s="38">
        <f>C23+C45+C46+C48</f>
        <v>56.22579520000001</v>
      </c>
      <c r="D22" s="38">
        <v>56.22579520000001</v>
      </c>
      <c r="E22" s="38">
        <v>55.55842813059999</v>
      </c>
      <c r="F22" s="38"/>
      <c r="G22" s="38"/>
      <c r="H22" s="38">
        <v>55.55842813059999</v>
      </c>
      <c r="I22" s="38">
        <v>59.9877860712</v>
      </c>
      <c r="J22" s="38">
        <f>J23+J45+J46+J48</f>
        <v>6.7333831773999995</v>
      </c>
      <c r="K22" s="39"/>
      <c r="L22" s="4"/>
      <c r="M22" s="4"/>
      <c r="N22" s="4"/>
      <c r="O22" s="5"/>
    </row>
    <row r="23" spans="1:15" ht="25.5">
      <c r="A23" s="34" t="s">
        <v>92</v>
      </c>
      <c r="B23" s="24" t="s">
        <v>119</v>
      </c>
      <c r="C23" s="38">
        <f>C24+C29+C38</f>
        <v>48.68559520000001</v>
      </c>
      <c r="D23" s="38">
        <v>48.68559520000001</v>
      </c>
      <c r="E23" s="38">
        <v>41.9904396766</v>
      </c>
      <c r="F23" s="38"/>
      <c r="G23" s="38"/>
      <c r="H23" s="38">
        <v>41.9904396766</v>
      </c>
      <c r="I23" s="38">
        <v>46.4197973458</v>
      </c>
      <c r="J23" s="38">
        <f>J24+J29+J38</f>
        <v>6.7333831773999995</v>
      </c>
      <c r="K23" s="39"/>
      <c r="L23" s="4"/>
      <c r="M23" s="4"/>
      <c r="N23" s="4"/>
      <c r="O23" s="5"/>
    </row>
    <row r="24" spans="1:15" ht="15.75">
      <c r="A24" s="34"/>
      <c r="B24" s="28" t="s">
        <v>64</v>
      </c>
      <c r="C24" s="38">
        <f>C25+C26</f>
        <v>0.82718</v>
      </c>
      <c r="D24" s="38">
        <f>D25+D26</f>
        <v>0.82718</v>
      </c>
      <c r="E24" s="38">
        <v>0.6919154907999999</v>
      </c>
      <c r="F24" s="38"/>
      <c r="G24" s="38"/>
      <c r="H24" s="38">
        <v>0.6919154907999999</v>
      </c>
      <c r="I24" s="38">
        <v>0.6928087507999999</v>
      </c>
      <c r="J24" s="38">
        <f>J25+J26+J27+J28</f>
        <v>0.3486604292000001</v>
      </c>
      <c r="K24" s="39"/>
      <c r="L24" s="4"/>
      <c r="M24" s="4"/>
      <c r="N24" s="4"/>
      <c r="O24" s="5"/>
    </row>
    <row r="25" spans="1:15" ht="68.25" customHeight="1">
      <c r="A25" s="21" t="s">
        <v>38</v>
      </c>
      <c r="B25" s="20" t="s">
        <v>88</v>
      </c>
      <c r="C25" s="105">
        <f>0.406*1.18</f>
        <v>0.47908</v>
      </c>
      <c r="D25" s="39">
        <v>0.47908</v>
      </c>
      <c r="E25" s="39">
        <v>0.4355064704</v>
      </c>
      <c r="F25" s="102">
        <v>6</v>
      </c>
      <c r="G25" s="102">
        <v>6</v>
      </c>
      <c r="H25" s="39">
        <v>0.4355064704</v>
      </c>
      <c r="I25" s="39">
        <v>0.4727956504</v>
      </c>
      <c r="J25" s="39">
        <f>0.0369267200000001*1.18</f>
        <v>0.04357352960000012</v>
      </c>
      <c r="K25" s="39"/>
      <c r="L25" s="4"/>
      <c r="M25" s="4"/>
      <c r="N25" s="4"/>
      <c r="O25" s="5"/>
    </row>
    <row r="26" spans="1:15" ht="67.5" customHeight="1">
      <c r="A26" s="21" t="s">
        <v>39</v>
      </c>
      <c r="B26" s="20" t="s">
        <v>89</v>
      </c>
      <c r="C26" s="105">
        <f>0.295*1.18</f>
        <v>0.34809999999999997</v>
      </c>
      <c r="D26" s="39">
        <v>0.34809999999999997</v>
      </c>
      <c r="E26" s="39">
        <v>0.22001310039999997</v>
      </c>
      <c r="F26" s="102">
        <v>10</v>
      </c>
      <c r="G26" s="102">
        <v>10</v>
      </c>
      <c r="H26" s="39">
        <v>0.22001310039999997</v>
      </c>
      <c r="I26" s="39">
        <v>0.22001310039999997</v>
      </c>
      <c r="J26" s="39">
        <f>0.10854822*1.18</f>
        <v>0.1280868996</v>
      </c>
      <c r="K26" s="39"/>
      <c r="L26" s="4"/>
      <c r="M26" s="4"/>
      <c r="N26" s="4"/>
      <c r="O26" s="5"/>
    </row>
    <row r="27" spans="1:15" ht="15.75">
      <c r="A27" s="21" t="s">
        <v>40</v>
      </c>
      <c r="B27" s="20" t="s">
        <v>160</v>
      </c>
      <c r="C27" s="4"/>
      <c r="D27" s="39"/>
      <c r="E27" s="39">
        <v>0.01819796</v>
      </c>
      <c r="F27" s="39"/>
      <c r="G27" s="39"/>
      <c r="H27" s="39">
        <v>0.01819796</v>
      </c>
      <c r="I27" s="47"/>
      <c r="J27" s="39">
        <f>0.1*1.18</f>
        <v>0.118</v>
      </c>
      <c r="K27" s="39"/>
      <c r="L27" s="4"/>
      <c r="M27" s="4"/>
      <c r="N27" s="4"/>
      <c r="O27" s="5"/>
    </row>
    <row r="28" spans="1:15" ht="15.75">
      <c r="A28" s="21" t="s">
        <v>41</v>
      </c>
      <c r="B28" s="20" t="s">
        <v>161</v>
      </c>
      <c r="C28" s="4"/>
      <c r="D28" s="39"/>
      <c r="E28" s="39">
        <v>0.01819796</v>
      </c>
      <c r="F28" s="39"/>
      <c r="G28" s="39"/>
      <c r="H28" s="39">
        <v>0.01819796</v>
      </c>
      <c r="I28" s="47"/>
      <c r="J28" s="39">
        <f>0.05*1.18</f>
        <v>0.059</v>
      </c>
      <c r="K28" s="39"/>
      <c r="L28" s="4"/>
      <c r="M28" s="4"/>
      <c r="N28" s="4"/>
      <c r="O28" s="5"/>
    </row>
    <row r="29" spans="1:15" ht="15.75">
      <c r="A29" s="34"/>
      <c r="B29" s="28" t="s">
        <v>67</v>
      </c>
      <c r="C29" s="38">
        <f>SUM(C30:C37)</f>
        <v>4.4240312</v>
      </c>
      <c r="D29" s="38">
        <v>4.4240312</v>
      </c>
      <c r="E29" s="38">
        <v>3.4507316429999992</v>
      </c>
      <c r="F29" s="38"/>
      <c r="G29" s="38"/>
      <c r="H29" s="38">
        <v>3.4507316429999992</v>
      </c>
      <c r="I29" s="38">
        <v>3.4507316429999992</v>
      </c>
      <c r="J29" s="38">
        <f>SUM(J30:J37)</f>
        <v>0</v>
      </c>
      <c r="K29" s="39"/>
      <c r="L29" s="4"/>
      <c r="M29" s="4"/>
      <c r="N29" s="4"/>
      <c r="O29" s="5"/>
    </row>
    <row r="30" spans="1:15" ht="42.75" customHeight="1">
      <c r="A30" s="21" t="s">
        <v>42</v>
      </c>
      <c r="B30" s="23" t="s">
        <v>145</v>
      </c>
      <c r="C30" s="105">
        <f>0.09609*1.18</f>
        <v>0.11338619999999999</v>
      </c>
      <c r="D30" s="39">
        <v>0.11338619999999999</v>
      </c>
      <c r="E30" s="39">
        <v>0.11338501999999998</v>
      </c>
      <c r="F30" s="39">
        <v>0.1</v>
      </c>
      <c r="G30" s="103">
        <v>0.092</v>
      </c>
      <c r="H30" s="39">
        <v>0.11338501999999998</v>
      </c>
      <c r="I30" s="39">
        <v>0.11338501999999999</v>
      </c>
      <c r="J30" s="39"/>
      <c r="K30" s="39"/>
      <c r="L30" s="4"/>
      <c r="M30" s="4"/>
      <c r="N30" s="4"/>
      <c r="O30" s="5"/>
    </row>
    <row r="31" spans="1:15" ht="46.5" customHeight="1">
      <c r="A31" s="21" t="s">
        <v>43</v>
      </c>
      <c r="B31" s="23" t="s">
        <v>148</v>
      </c>
      <c r="C31" s="105">
        <f>0.670338983050847*1.18</f>
        <v>0.7909999999999995</v>
      </c>
      <c r="D31" s="39">
        <v>0.7909999999999995</v>
      </c>
      <c r="E31" s="39">
        <v>0.5021887187999999</v>
      </c>
      <c r="F31" s="39">
        <v>0.35</v>
      </c>
      <c r="G31" s="103">
        <v>0.336</v>
      </c>
      <c r="H31" s="39">
        <v>0.5021887187999999</v>
      </c>
      <c r="I31" s="39">
        <v>0.5021887188</v>
      </c>
      <c r="J31" s="39"/>
      <c r="K31" s="39"/>
      <c r="L31" s="4"/>
      <c r="M31" s="4"/>
      <c r="N31" s="4"/>
      <c r="O31" s="5"/>
    </row>
    <row r="32" spans="1:15" ht="38.25">
      <c r="A32" s="21" t="s">
        <v>44</v>
      </c>
      <c r="B32" s="23" t="s">
        <v>146</v>
      </c>
      <c r="C32" s="105">
        <f>0.637*1.18</f>
        <v>0.75166</v>
      </c>
      <c r="D32" s="39">
        <v>0.75166</v>
      </c>
      <c r="E32" s="39">
        <v>0.7521887226000001</v>
      </c>
      <c r="F32" s="39">
        <v>0.3</v>
      </c>
      <c r="G32" s="103">
        <v>0.313</v>
      </c>
      <c r="H32" s="39">
        <v>0.7521887226000001</v>
      </c>
      <c r="I32" s="39">
        <v>0.7521887226</v>
      </c>
      <c r="J32" s="39"/>
      <c r="K32" s="39"/>
      <c r="L32" s="4"/>
      <c r="M32" s="4"/>
      <c r="N32" s="4"/>
      <c r="O32" s="5"/>
    </row>
    <row r="33" spans="1:15" ht="25.5">
      <c r="A33" s="21" t="s">
        <v>45</v>
      </c>
      <c r="B33" s="23" t="s">
        <v>149</v>
      </c>
      <c r="C33" s="105">
        <f>0.335*1.18</f>
        <v>0.3953</v>
      </c>
      <c r="D33" s="39">
        <v>0.39529999999999993</v>
      </c>
      <c r="E33" s="39">
        <v>0.39572598000000003</v>
      </c>
      <c r="F33" s="39">
        <v>0.3</v>
      </c>
      <c r="G33" s="103">
        <v>0.237</v>
      </c>
      <c r="H33" s="39">
        <v>0.39572598000000003</v>
      </c>
      <c r="I33" s="39">
        <v>0.3957259799999999</v>
      </c>
      <c r="J33" s="39"/>
      <c r="K33" s="39"/>
      <c r="L33" s="4"/>
      <c r="M33" s="4"/>
      <c r="N33" s="4"/>
      <c r="O33" s="5"/>
    </row>
    <row r="34" spans="1:15" ht="25.5">
      <c r="A34" s="21" t="s">
        <v>46</v>
      </c>
      <c r="B34" s="23" t="s">
        <v>150</v>
      </c>
      <c r="C34" s="105">
        <f>0.766*1.18</f>
        <v>0.90388</v>
      </c>
      <c r="D34" s="39">
        <v>0.90388</v>
      </c>
      <c r="E34" s="39">
        <v>0.50433554</v>
      </c>
      <c r="F34" s="39">
        <v>0.33</v>
      </c>
      <c r="G34" s="103">
        <v>0.13</v>
      </c>
      <c r="H34" s="39">
        <v>0.50433554</v>
      </c>
      <c r="I34" s="39">
        <v>0.50433554</v>
      </c>
      <c r="J34" s="39"/>
      <c r="K34" s="39"/>
      <c r="L34" s="4"/>
      <c r="M34" s="4"/>
      <c r="N34" s="4"/>
      <c r="O34" s="5"/>
    </row>
    <row r="35" spans="1:15" ht="25.5">
      <c r="A35" s="21" t="s">
        <v>47</v>
      </c>
      <c r="B35" s="23" t="s">
        <v>147</v>
      </c>
      <c r="C35" s="105">
        <f>0.86175*1.18</f>
        <v>1.016865</v>
      </c>
      <c r="D35" s="39">
        <v>1.016865</v>
      </c>
      <c r="E35" s="39">
        <v>0.6421887213999999</v>
      </c>
      <c r="F35" s="39">
        <v>0.43</v>
      </c>
      <c r="G35" s="103">
        <v>0.32</v>
      </c>
      <c r="H35" s="39">
        <v>0.6421887213999999</v>
      </c>
      <c r="I35" s="39">
        <v>0.6421887213999998</v>
      </c>
      <c r="J35" s="39"/>
      <c r="K35" s="39"/>
      <c r="L35" s="4"/>
      <c r="M35" s="4"/>
      <c r="N35" s="4"/>
      <c r="O35" s="5"/>
    </row>
    <row r="36" spans="1:15" ht="30" customHeight="1">
      <c r="A36" s="21" t="s">
        <v>48</v>
      </c>
      <c r="B36" s="23" t="s">
        <v>172</v>
      </c>
      <c r="C36" s="105"/>
      <c r="D36" s="39"/>
      <c r="E36" s="39">
        <v>0.30353021999999996</v>
      </c>
      <c r="F36" s="39"/>
      <c r="G36" s="103">
        <v>0.105</v>
      </c>
      <c r="H36" s="39">
        <v>0.30353021999999996</v>
      </c>
      <c r="I36" s="39">
        <v>0.30353021999999996</v>
      </c>
      <c r="J36" s="39"/>
      <c r="K36" s="39"/>
      <c r="L36" s="4"/>
      <c r="M36" s="4"/>
      <c r="N36" s="4"/>
      <c r="O36" s="5"/>
    </row>
    <row r="37" spans="1:15" ht="25.5">
      <c r="A37" s="21" t="s">
        <v>49</v>
      </c>
      <c r="B37" s="23" t="s">
        <v>162</v>
      </c>
      <c r="C37" s="105">
        <f>0.383*1.18</f>
        <v>0.45194</v>
      </c>
      <c r="D37" s="39">
        <v>0.45194</v>
      </c>
      <c r="E37" s="39">
        <v>0.2371887202</v>
      </c>
      <c r="F37" s="39">
        <v>0.21</v>
      </c>
      <c r="G37" s="103">
        <v>0.138</v>
      </c>
      <c r="H37" s="39">
        <v>0.2371887202</v>
      </c>
      <c r="I37" s="39">
        <v>0.23718872019999995</v>
      </c>
      <c r="J37" s="39"/>
      <c r="K37" s="39"/>
      <c r="L37" s="4"/>
      <c r="M37" s="4"/>
      <c r="N37" s="4"/>
      <c r="O37" s="5"/>
    </row>
    <row r="38" spans="1:15" ht="15.75">
      <c r="A38" s="21"/>
      <c r="B38" s="22" t="s">
        <v>68</v>
      </c>
      <c r="C38" s="66">
        <f>SUM(C39:C44)</f>
        <v>43.43438400000001</v>
      </c>
      <c r="D38" s="38">
        <v>43.43438400000001</v>
      </c>
      <c r="E38" s="38">
        <v>37.8477925428</v>
      </c>
      <c r="F38" s="38"/>
      <c r="G38" s="38"/>
      <c r="H38" s="38">
        <v>37.8477925428</v>
      </c>
      <c r="I38" s="38">
        <v>42.276256952</v>
      </c>
      <c r="J38" s="66">
        <f>SUM(J39:J44)</f>
        <v>6.3847227482</v>
      </c>
      <c r="K38" s="39"/>
      <c r="L38" s="4"/>
      <c r="M38" s="4"/>
      <c r="N38" s="4"/>
      <c r="O38" s="5"/>
    </row>
    <row r="39" spans="1:15" ht="25.5">
      <c r="A39" s="21" t="s">
        <v>50</v>
      </c>
      <c r="B39" s="20" t="s">
        <v>90</v>
      </c>
      <c r="C39" s="105">
        <f>25*1.18</f>
        <v>29.5</v>
      </c>
      <c r="D39" s="39">
        <v>29.5</v>
      </c>
      <c r="E39" s="39">
        <v>23.115277251800002</v>
      </c>
      <c r="F39" s="102">
        <v>1</v>
      </c>
      <c r="G39" s="102">
        <v>1</v>
      </c>
      <c r="H39" s="39">
        <v>23.115277251800002</v>
      </c>
      <c r="I39" s="39">
        <v>27.543741661</v>
      </c>
      <c r="J39" s="39">
        <f>5.41078199*1.18</f>
        <v>6.3847227482</v>
      </c>
      <c r="K39" s="39"/>
      <c r="L39" s="4"/>
      <c r="M39" s="4"/>
      <c r="N39" s="4"/>
      <c r="O39" s="5"/>
    </row>
    <row r="40" spans="1:15" ht="38.25">
      <c r="A40" s="21" t="s">
        <v>51</v>
      </c>
      <c r="B40" s="20" t="s">
        <v>139</v>
      </c>
      <c r="C40" s="105">
        <f>2.36176*1.18</f>
        <v>2.7868767999999995</v>
      </c>
      <c r="D40" s="39">
        <v>2.7868767999999995</v>
      </c>
      <c r="E40" s="39">
        <v>2.7868713365999995</v>
      </c>
      <c r="F40" s="102">
        <v>1</v>
      </c>
      <c r="G40" s="102">
        <v>1</v>
      </c>
      <c r="H40" s="39">
        <v>2.7868713365999995</v>
      </c>
      <c r="I40" s="39">
        <v>2.7868713366</v>
      </c>
      <c r="J40" s="39"/>
      <c r="K40" s="39"/>
      <c r="L40" s="4"/>
      <c r="M40" s="4"/>
      <c r="N40" s="4"/>
      <c r="O40" s="5"/>
    </row>
    <row r="41" spans="1:15" ht="38.25">
      <c r="A41" s="21" t="s">
        <v>52</v>
      </c>
      <c r="B41" s="20" t="s">
        <v>136</v>
      </c>
      <c r="C41" s="105">
        <f>2.36176*1.18</f>
        <v>2.7868767999999995</v>
      </c>
      <c r="D41" s="39">
        <v>2.7868767999999995</v>
      </c>
      <c r="E41" s="39">
        <v>2.9864109886</v>
      </c>
      <c r="F41" s="102">
        <v>1</v>
      </c>
      <c r="G41" s="102">
        <v>1</v>
      </c>
      <c r="H41" s="39">
        <v>2.9864109886</v>
      </c>
      <c r="I41" s="39">
        <v>2.9864109885999994</v>
      </c>
      <c r="J41" s="39"/>
      <c r="K41" s="39"/>
      <c r="L41" s="4"/>
      <c r="M41" s="4"/>
      <c r="N41" s="4"/>
      <c r="O41" s="5"/>
    </row>
    <row r="42" spans="1:15" ht="38.25">
      <c r="A42" s="21" t="s">
        <v>158</v>
      </c>
      <c r="B42" s="20" t="s">
        <v>137</v>
      </c>
      <c r="C42" s="105">
        <f>2.36176*1.18</f>
        <v>2.7868767999999995</v>
      </c>
      <c r="D42" s="39">
        <v>2.7868767999999995</v>
      </c>
      <c r="E42" s="39">
        <v>2.9864109886</v>
      </c>
      <c r="F42" s="102">
        <v>1</v>
      </c>
      <c r="G42" s="102">
        <v>1</v>
      </c>
      <c r="H42" s="39">
        <v>2.9864109886</v>
      </c>
      <c r="I42" s="39">
        <v>2.9864109885999994</v>
      </c>
      <c r="J42" s="39"/>
      <c r="K42" s="39"/>
      <c r="L42" s="4"/>
      <c r="M42" s="4"/>
      <c r="N42" s="4"/>
      <c r="O42" s="5"/>
    </row>
    <row r="43" spans="1:15" ht="38.25">
      <c r="A43" s="21" t="s">
        <v>159</v>
      </c>
      <c r="B43" s="20" t="s">
        <v>138</v>
      </c>
      <c r="C43" s="105">
        <f>2.36176*1.18</f>
        <v>2.7868767999999995</v>
      </c>
      <c r="D43" s="39">
        <v>2.7868767999999995</v>
      </c>
      <c r="E43" s="39">
        <v>2.9864109886</v>
      </c>
      <c r="F43" s="102">
        <v>1</v>
      </c>
      <c r="G43" s="102">
        <v>1</v>
      </c>
      <c r="H43" s="39">
        <v>2.9864109886</v>
      </c>
      <c r="I43" s="39">
        <v>2.9864109885999994</v>
      </c>
      <c r="J43" s="39"/>
      <c r="K43" s="39"/>
      <c r="L43" s="4"/>
      <c r="M43" s="4"/>
      <c r="N43" s="4"/>
      <c r="O43" s="5"/>
    </row>
    <row r="44" spans="1:15" ht="38.25">
      <c r="A44" s="21" t="s">
        <v>206</v>
      </c>
      <c r="B44" s="20" t="s">
        <v>155</v>
      </c>
      <c r="C44" s="105">
        <f>2.36176*1.18</f>
        <v>2.7868767999999995</v>
      </c>
      <c r="D44" s="39">
        <v>2.7868767999999995</v>
      </c>
      <c r="E44" s="39">
        <v>2.9864109886</v>
      </c>
      <c r="F44" s="102">
        <v>1</v>
      </c>
      <c r="G44" s="102">
        <v>1</v>
      </c>
      <c r="H44" s="39">
        <v>2.9864109886</v>
      </c>
      <c r="I44" s="39">
        <v>2.9864109885999994</v>
      </c>
      <c r="J44" s="39"/>
      <c r="K44" s="39"/>
      <c r="L44" s="4"/>
      <c r="M44" s="4"/>
      <c r="N44" s="4"/>
      <c r="O44" s="5"/>
    </row>
    <row r="45" spans="1:15" ht="25.5">
      <c r="A45" s="33" t="s">
        <v>93</v>
      </c>
      <c r="B45" s="24" t="s">
        <v>0</v>
      </c>
      <c r="C45" s="4"/>
      <c r="D45" s="39"/>
      <c r="E45" s="39"/>
      <c r="F45" s="39"/>
      <c r="G45" s="39"/>
      <c r="H45" s="39"/>
      <c r="I45" s="47"/>
      <c r="J45" s="39"/>
      <c r="K45" s="39"/>
      <c r="L45" s="4"/>
      <c r="M45" s="4"/>
      <c r="N45" s="4"/>
      <c r="O45" s="5"/>
    </row>
    <row r="46" spans="1:15" ht="15.75">
      <c r="A46" s="33" t="s">
        <v>99</v>
      </c>
      <c r="B46" s="22" t="s">
        <v>120</v>
      </c>
      <c r="C46" s="66">
        <f>C47</f>
        <v>7.5402</v>
      </c>
      <c r="D46" s="38">
        <v>7.5402</v>
      </c>
      <c r="E46" s="38">
        <v>13.567988453999996</v>
      </c>
      <c r="F46" s="38"/>
      <c r="G46" s="38"/>
      <c r="H46" s="38">
        <v>13.567988453999996</v>
      </c>
      <c r="I46" s="38">
        <v>13.567988725400001</v>
      </c>
      <c r="J46" s="38"/>
      <c r="K46" s="39"/>
      <c r="L46" s="4"/>
      <c r="M46" s="4"/>
      <c r="N46" s="4"/>
      <c r="O46" s="5"/>
    </row>
    <row r="47" spans="1:15" ht="15.75">
      <c r="A47" s="21" t="s">
        <v>53</v>
      </c>
      <c r="B47" s="20" t="s">
        <v>76</v>
      </c>
      <c r="C47" s="105">
        <f>6.39*1.18</f>
        <v>7.5402</v>
      </c>
      <c r="D47" s="39">
        <v>7.5402</v>
      </c>
      <c r="E47" s="39">
        <v>13.567988453999996</v>
      </c>
      <c r="F47" s="102">
        <v>1</v>
      </c>
      <c r="G47" s="102">
        <v>1</v>
      </c>
      <c r="H47" s="39">
        <v>13.567988453999996</v>
      </c>
      <c r="I47" s="39">
        <v>13.567988725400001</v>
      </c>
      <c r="J47" s="39"/>
      <c r="K47" s="39"/>
      <c r="L47" s="4"/>
      <c r="M47" s="4"/>
      <c r="N47" s="4"/>
      <c r="O47" s="5"/>
    </row>
    <row r="48" spans="1:15" ht="25.5">
      <c r="A48" s="33" t="s">
        <v>104</v>
      </c>
      <c r="B48" s="24" t="s">
        <v>121</v>
      </c>
      <c r="C48" s="4"/>
      <c r="D48" s="39"/>
      <c r="E48" s="39"/>
      <c r="F48" s="39"/>
      <c r="G48" s="39"/>
      <c r="H48" s="39"/>
      <c r="I48" s="47"/>
      <c r="J48" s="39"/>
      <c r="K48" s="39"/>
      <c r="L48" s="4"/>
      <c r="M48" s="4"/>
      <c r="N48" s="4"/>
      <c r="O48" s="5"/>
    </row>
    <row r="49" spans="1:15" ht="15.75">
      <c r="A49" s="33" t="s">
        <v>94</v>
      </c>
      <c r="B49" s="24" t="s">
        <v>107</v>
      </c>
      <c r="C49" s="38">
        <f>C50+C84+C90+C95+C96+C97</f>
        <v>136.21562508</v>
      </c>
      <c r="D49" s="38">
        <v>99.57931028</v>
      </c>
      <c r="E49" s="38">
        <v>129.10818600099995</v>
      </c>
      <c r="F49" s="38"/>
      <c r="G49" s="38"/>
      <c r="H49" s="38">
        <v>129.10818600099995</v>
      </c>
      <c r="I49" s="38">
        <v>157.4217694206</v>
      </c>
      <c r="J49" s="38">
        <f>J50+J84+J90+J95+J96+J97</f>
        <v>24.6413981488</v>
      </c>
      <c r="K49" s="39"/>
      <c r="L49" s="4"/>
      <c r="M49" s="4"/>
      <c r="N49" s="4"/>
      <c r="O49" s="5"/>
    </row>
    <row r="50" spans="1:15" ht="25.5">
      <c r="A50" s="33" t="s">
        <v>95</v>
      </c>
      <c r="B50" s="22" t="s">
        <v>119</v>
      </c>
      <c r="C50" s="38">
        <f>C51+C67</f>
        <v>58.315836899999994</v>
      </c>
      <c r="D50" s="38">
        <v>58.31589736</v>
      </c>
      <c r="E50" s="38">
        <v>53.031369689599984</v>
      </c>
      <c r="F50" s="38"/>
      <c r="G50" s="38"/>
      <c r="H50" s="38">
        <v>53.031369689599984</v>
      </c>
      <c r="I50" s="38">
        <v>97.02296046299999</v>
      </c>
      <c r="J50" s="38">
        <f>J51+J67</f>
        <v>24.5823981488</v>
      </c>
      <c r="K50" s="39"/>
      <c r="L50" s="4"/>
      <c r="M50" s="4"/>
      <c r="N50" s="4"/>
      <c r="O50" s="5"/>
    </row>
    <row r="51" spans="1:15" ht="15.75">
      <c r="A51" s="34"/>
      <c r="B51" s="22" t="s">
        <v>65</v>
      </c>
      <c r="C51" s="38">
        <f>SUM(C52:C66)</f>
        <v>36.944454799999995</v>
      </c>
      <c r="D51" s="38">
        <v>36.9445138</v>
      </c>
      <c r="E51" s="38">
        <v>37.592744782199986</v>
      </c>
      <c r="F51" s="38"/>
      <c r="G51" s="38"/>
      <c r="H51" s="38">
        <v>37.592744782199986</v>
      </c>
      <c r="I51" s="38">
        <v>86.41876729459999</v>
      </c>
      <c r="J51" s="38">
        <f>SUM(J52:J66)</f>
        <v>16.2354779398</v>
      </c>
      <c r="K51" s="39"/>
      <c r="L51" s="4"/>
      <c r="M51" s="4"/>
      <c r="N51" s="4"/>
      <c r="O51" s="5"/>
    </row>
    <row r="52" spans="1:15" ht="25.5">
      <c r="A52" s="21" t="s">
        <v>54</v>
      </c>
      <c r="B52" s="23" t="s">
        <v>77</v>
      </c>
      <c r="C52" s="105">
        <f>9.835*1.18</f>
        <v>11.6053</v>
      </c>
      <c r="D52" s="39">
        <v>11.6053</v>
      </c>
      <c r="E52" s="39">
        <v>23.444263423</v>
      </c>
      <c r="F52" s="39">
        <v>3.8</v>
      </c>
      <c r="G52" s="39">
        <v>29.27</v>
      </c>
      <c r="H52" s="39">
        <v>23.444263423</v>
      </c>
      <c r="I52" s="39">
        <v>76.42386279559999</v>
      </c>
      <c r="J52" s="39"/>
      <c r="K52" s="39"/>
      <c r="L52" s="4"/>
      <c r="M52" s="4"/>
      <c r="N52" s="4"/>
      <c r="O52" s="5"/>
    </row>
    <row r="53" spans="1:15" ht="25.5">
      <c r="A53" s="21" t="s">
        <v>55</v>
      </c>
      <c r="B53" s="23" t="s">
        <v>130</v>
      </c>
      <c r="C53" s="105">
        <f>2.00593*1.18</f>
        <v>2.3669974000000003</v>
      </c>
      <c r="D53" s="39">
        <v>2.3669974000000003</v>
      </c>
      <c r="E53" s="39">
        <v>2.0418697461999997</v>
      </c>
      <c r="F53" s="39">
        <v>0.7</v>
      </c>
      <c r="G53" s="103">
        <v>0.546</v>
      </c>
      <c r="H53" s="39">
        <v>2.0418697461999997</v>
      </c>
      <c r="I53" s="47"/>
      <c r="J53" s="39">
        <f>0.27553191*1.18</f>
        <v>0.32512765379999997</v>
      </c>
      <c r="K53" s="39"/>
      <c r="L53" s="4"/>
      <c r="M53" s="4"/>
      <c r="N53" s="4"/>
      <c r="O53" s="5"/>
    </row>
    <row r="54" spans="1:15" ht="25.5">
      <c r="A54" s="21" t="s">
        <v>56</v>
      </c>
      <c r="B54" s="23" t="s">
        <v>129</v>
      </c>
      <c r="C54" s="105">
        <f>2.00593*1.18</f>
        <v>2.3669974000000003</v>
      </c>
      <c r="D54" s="39">
        <v>2.3669974000000003</v>
      </c>
      <c r="E54" s="39">
        <v>2.0418697461999997</v>
      </c>
      <c r="F54" s="39">
        <v>0.7</v>
      </c>
      <c r="G54" s="103">
        <v>0.546</v>
      </c>
      <c r="H54" s="39">
        <v>2.0418697461999997</v>
      </c>
      <c r="I54" s="47"/>
      <c r="J54" s="39">
        <f>0.27553191*1.18</f>
        <v>0.32512765379999997</v>
      </c>
      <c r="K54" s="39"/>
      <c r="L54" s="4"/>
      <c r="M54" s="4"/>
      <c r="N54" s="4"/>
      <c r="O54" s="5"/>
    </row>
    <row r="55" spans="1:15" ht="15.75">
      <c r="A55" s="21" t="s">
        <v>57</v>
      </c>
      <c r="B55" s="23" t="s">
        <v>128</v>
      </c>
      <c r="C55" s="105">
        <f>3.56*1.18</f>
        <v>4.2008</v>
      </c>
      <c r="D55" s="39">
        <v>4.2010005999999995</v>
      </c>
      <c r="E55" s="39">
        <v>0</v>
      </c>
      <c r="F55" s="39">
        <v>1.41</v>
      </c>
      <c r="G55" s="103"/>
      <c r="H55" s="39">
        <v>0</v>
      </c>
      <c r="I55" s="47"/>
      <c r="J55" s="39">
        <f>3.56*1.18</f>
        <v>4.2008</v>
      </c>
      <c r="K55" s="39"/>
      <c r="L55" s="4"/>
      <c r="M55" s="4"/>
      <c r="N55" s="4"/>
      <c r="O55" s="5"/>
    </row>
    <row r="56" spans="1:15" ht="15.75">
      <c r="A56" s="21" t="s">
        <v>58</v>
      </c>
      <c r="B56" s="23" t="s">
        <v>131</v>
      </c>
      <c r="C56" s="105">
        <f>3.582*1.18</f>
        <v>4.22676</v>
      </c>
      <c r="D56" s="39">
        <v>4.226996</v>
      </c>
      <c r="E56" s="39">
        <v>0</v>
      </c>
      <c r="F56" s="39">
        <v>1.25</v>
      </c>
      <c r="G56" s="103"/>
      <c r="H56" s="39">
        <v>0</v>
      </c>
      <c r="I56" s="47"/>
      <c r="J56" s="39">
        <f>3.582*1.18</f>
        <v>4.22676</v>
      </c>
      <c r="K56" s="39"/>
      <c r="L56" s="4"/>
      <c r="M56" s="4"/>
      <c r="N56" s="4"/>
      <c r="O56" s="5"/>
    </row>
    <row r="57" spans="1:15" ht="15.75">
      <c r="A57" s="21" t="s">
        <v>59</v>
      </c>
      <c r="B57" s="23" t="s">
        <v>132</v>
      </c>
      <c r="C57" s="105">
        <f>2.58*1.18</f>
        <v>3.0444</v>
      </c>
      <c r="D57" s="39">
        <v>3.0439988</v>
      </c>
      <c r="E57" s="39">
        <v>0.0698373678</v>
      </c>
      <c r="F57" s="39">
        <v>0.9</v>
      </c>
      <c r="G57" s="103"/>
      <c r="H57" s="39">
        <v>0.0698373678</v>
      </c>
      <c r="I57" s="47"/>
      <c r="J57" s="39">
        <f>2.52081579*1.18</f>
        <v>2.9745626321999996</v>
      </c>
      <c r="K57" s="39"/>
      <c r="L57" s="4"/>
      <c r="M57" s="4"/>
      <c r="N57" s="4"/>
      <c r="O57" s="5"/>
    </row>
    <row r="58" spans="1:15" ht="15.75">
      <c r="A58" s="21" t="s">
        <v>60</v>
      </c>
      <c r="B58" s="23" t="s">
        <v>133</v>
      </c>
      <c r="C58" s="105">
        <f>3.545*1.18</f>
        <v>4.1831</v>
      </c>
      <c r="D58" s="39">
        <v>4.1830055999999995</v>
      </c>
      <c r="E58" s="39">
        <v>0</v>
      </c>
      <c r="F58" s="39">
        <v>1.24</v>
      </c>
      <c r="G58" s="103"/>
      <c r="H58" s="39">
        <v>0</v>
      </c>
      <c r="I58" s="47"/>
      <c r="J58" s="39">
        <f>3.545*1.18</f>
        <v>4.1831</v>
      </c>
      <c r="K58" s="39"/>
      <c r="L58" s="4"/>
      <c r="M58" s="4"/>
      <c r="N58" s="4"/>
      <c r="O58" s="5"/>
    </row>
    <row r="59" spans="1:15" ht="15.75">
      <c r="A59" s="21" t="s">
        <v>74</v>
      </c>
      <c r="B59" s="23" t="s">
        <v>134</v>
      </c>
      <c r="C59" s="105">
        <f>2.866*1.18</f>
        <v>3.3818799999999998</v>
      </c>
      <c r="D59" s="39">
        <v>3.381998</v>
      </c>
      <c r="E59" s="39">
        <v>4.5262097917999995</v>
      </c>
      <c r="F59" s="39">
        <v>1</v>
      </c>
      <c r="G59" s="39">
        <v>0.97</v>
      </c>
      <c r="H59" s="39">
        <v>4.5262097917999995</v>
      </c>
      <c r="I59" s="39">
        <v>4.5262097917999995</v>
      </c>
      <c r="J59" s="39"/>
      <c r="K59" s="39"/>
      <c r="L59" s="4"/>
      <c r="M59" s="4"/>
      <c r="N59" s="4"/>
      <c r="O59" s="5"/>
    </row>
    <row r="60" spans="1:15" ht="25.5" customHeight="1">
      <c r="A60" s="21" t="s">
        <v>75</v>
      </c>
      <c r="B60" s="23" t="s">
        <v>127</v>
      </c>
      <c r="C60" s="105">
        <f>1.329*1.18</f>
        <v>1.56822</v>
      </c>
      <c r="D60" s="39">
        <v>1.56822</v>
      </c>
      <c r="E60" s="39">
        <v>1.6057235034</v>
      </c>
      <c r="F60" s="39">
        <v>0.31</v>
      </c>
      <c r="G60" s="39">
        <v>0.64</v>
      </c>
      <c r="H60" s="39">
        <v>1.6057235034</v>
      </c>
      <c r="I60" s="39">
        <v>1.6057235033999997</v>
      </c>
      <c r="J60" s="39"/>
      <c r="K60" s="39"/>
      <c r="L60" s="4"/>
      <c r="M60" s="4"/>
      <c r="N60" s="4"/>
      <c r="O60" s="5"/>
    </row>
    <row r="61" spans="1:15" ht="15.75">
      <c r="A61" s="21" t="s">
        <v>81</v>
      </c>
      <c r="B61" s="23" t="s">
        <v>164</v>
      </c>
      <c r="C61" s="4"/>
      <c r="D61" s="39"/>
      <c r="E61" s="39">
        <v>0.534093842</v>
      </c>
      <c r="F61" s="39">
        <v>0</v>
      </c>
      <c r="G61" s="103">
        <v>0.033</v>
      </c>
      <c r="H61" s="39">
        <v>0.534093842</v>
      </c>
      <c r="I61" s="39">
        <v>0.534093842</v>
      </c>
      <c r="J61" s="39"/>
      <c r="K61" s="39"/>
      <c r="L61" s="4"/>
      <c r="M61" s="4"/>
      <c r="N61" s="4"/>
      <c r="O61" s="5"/>
    </row>
    <row r="62" spans="1:15" ht="15.75">
      <c r="A62" s="21" t="s">
        <v>82</v>
      </c>
      <c r="B62" s="23" t="s">
        <v>171</v>
      </c>
      <c r="C62" s="4"/>
      <c r="D62" s="39"/>
      <c r="E62" s="39">
        <v>2.2663742805999996</v>
      </c>
      <c r="F62" s="39">
        <v>0</v>
      </c>
      <c r="G62" s="39">
        <v>0.57</v>
      </c>
      <c r="H62" s="39">
        <v>2.2663742805999996</v>
      </c>
      <c r="I62" s="39">
        <v>2.2663742806</v>
      </c>
      <c r="J62" s="39"/>
      <c r="K62" s="39"/>
      <c r="L62" s="4"/>
      <c r="M62" s="4"/>
      <c r="N62" s="4"/>
      <c r="O62" s="5"/>
    </row>
    <row r="63" spans="1:15" ht="15.75">
      <c r="A63" s="21" t="s">
        <v>83</v>
      </c>
      <c r="B63" s="23" t="s">
        <v>185</v>
      </c>
      <c r="C63" s="4"/>
      <c r="D63" s="39"/>
      <c r="E63" s="39">
        <v>0.1159051696</v>
      </c>
      <c r="F63" s="39">
        <v>0</v>
      </c>
      <c r="G63" s="39">
        <v>0.12</v>
      </c>
      <c r="H63" s="39">
        <v>0.1159051696</v>
      </c>
      <c r="I63" s="39">
        <v>0.1159051696</v>
      </c>
      <c r="J63" s="39"/>
      <c r="K63" s="39"/>
      <c r="L63" s="4"/>
      <c r="M63" s="4"/>
      <c r="N63" s="4"/>
      <c r="O63" s="5"/>
    </row>
    <row r="64" spans="1:15" ht="15.75">
      <c r="A64" s="21" t="s">
        <v>84</v>
      </c>
      <c r="B64" s="23" t="s">
        <v>186</v>
      </c>
      <c r="C64" s="4"/>
      <c r="D64" s="39"/>
      <c r="E64" s="39">
        <v>0.1162381538</v>
      </c>
      <c r="F64" s="39">
        <v>0</v>
      </c>
      <c r="G64" s="39">
        <v>0.12</v>
      </c>
      <c r="H64" s="39">
        <v>0.1162381538</v>
      </c>
      <c r="I64" s="39">
        <v>0.11623815380000001</v>
      </c>
      <c r="J64" s="39"/>
      <c r="K64" s="39"/>
      <c r="L64" s="4"/>
      <c r="M64" s="4"/>
      <c r="N64" s="4"/>
      <c r="O64" s="5"/>
    </row>
    <row r="65" spans="1:15" ht="15.75">
      <c r="A65" s="21" t="s">
        <v>85</v>
      </c>
      <c r="B65" s="23" t="s">
        <v>187</v>
      </c>
      <c r="C65" s="4"/>
      <c r="D65" s="39"/>
      <c r="E65" s="39">
        <v>0.1033243518</v>
      </c>
      <c r="F65" s="39">
        <v>0</v>
      </c>
      <c r="G65" s="39">
        <v>0.1</v>
      </c>
      <c r="H65" s="39">
        <v>0.1033243518</v>
      </c>
      <c r="I65" s="39">
        <v>0.1033243518</v>
      </c>
      <c r="J65" s="39"/>
      <c r="K65" s="39"/>
      <c r="L65" s="4"/>
      <c r="M65" s="4"/>
      <c r="N65" s="4"/>
      <c r="O65" s="5"/>
    </row>
    <row r="66" spans="1:15" ht="25.5">
      <c r="A66" s="21" t="s">
        <v>86</v>
      </c>
      <c r="B66" s="23" t="s">
        <v>177</v>
      </c>
      <c r="C66" s="4"/>
      <c r="D66" s="39"/>
      <c r="E66" s="39">
        <v>0.727035406</v>
      </c>
      <c r="F66" s="39">
        <v>0</v>
      </c>
      <c r="G66" s="103">
        <v>0.805</v>
      </c>
      <c r="H66" s="39">
        <v>0.727035406</v>
      </c>
      <c r="I66" s="39">
        <v>0.727035406</v>
      </c>
      <c r="J66" s="39"/>
      <c r="K66" s="39"/>
      <c r="L66" s="4"/>
      <c r="M66" s="4"/>
      <c r="N66" s="4"/>
      <c r="O66" s="5"/>
    </row>
    <row r="67" spans="1:15" ht="15.75">
      <c r="A67" s="34"/>
      <c r="B67" s="22" t="s">
        <v>66</v>
      </c>
      <c r="C67" s="38">
        <f>SUM(C68:C83)</f>
        <v>21.3713821</v>
      </c>
      <c r="D67" s="38">
        <v>21.371383559999998</v>
      </c>
      <c r="E67" s="38">
        <v>15.438624907399996</v>
      </c>
      <c r="F67" s="38"/>
      <c r="G67" s="38"/>
      <c r="H67" s="38">
        <v>15.438624907399996</v>
      </c>
      <c r="I67" s="38">
        <v>10.604193168399998</v>
      </c>
      <c r="J67" s="38">
        <f>SUM(J68:J83)</f>
        <v>8.346920209</v>
      </c>
      <c r="K67" s="39"/>
      <c r="L67" s="4"/>
      <c r="M67" s="4"/>
      <c r="N67" s="4"/>
      <c r="O67" s="5"/>
    </row>
    <row r="68" spans="1:15" ht="38.25">
      <c r="A68" s="21" t="s">
        <v>87</v>
      </c>
      <c r="B68" s="23" t="s">
        <v>37</v>
      </c>
      <c r="C68" s="39">
        <f>16.526*1.18</f>
        <v>19.50068</v>
      </c>
      <c r="D68" s="39">
        <v>19.50068</v>
      </c>
      <c r="E68" s="39">
        <v>12.424759791</v>
      </c>
      <c r="F68" s="39">
        <v>19.87</v>
      </c>
      <c r="G68" s="39">
        <v>8.47</v>
      </c>
      <c r="H68" s="39">
        <v>12.424759791</v>
      </c>
      <c r="I68" s="39">
        <v>7.6814881614</v>
      </c>
      <c r="J68" s="39">
        <f>5.99654255*1.18</f>
        <v>7.0759202089999995</v>
      </c>
      <c r="K68" s="39"/>
      <c r="L68" s="4"/>
      <c r="M68" s="4"/>
      <c r="N68" s="4"/>
      <c r="O68" s="5"/>
    </row>
    <row r="69" spans="1:15" ht="25.5">
      <c r="A69" s="21" t="s">
        <v>168</v>
      </c>
      <c r="B69" s="23" t="s">
        <v>140</v>
      </c>
      <c r="C69" s="39">
        <f>0.577118644067797*1.18</f>
        <v>0.6810000000000004</v>
      </c>
      <c r="D69" s="39">
        <v>0.6810015999999999</v>
      </c>
      <c r="E69" s="39">
        <v>0.7147393811999999</v>
      </c>
      <c r="F69" s="39">
        <v>0.25</v>
      </c>
      <c r="G69" s="103">
        <v>0.256</v>
      </c>
      <c r="H69" s="39">
        <v>0.7147393811999999</v>
      </c>
      <c r="I69" s="39">
        <v>0.7147393811999999</v>
      </c>
      <c r="J69" s="39"/>
      <c r="K69" s="39"/>
      <c r="L69" s="4"/>
      <c r="M69" s="4"/>
      <c r="N69" s="4"/>
      <c r="O69" s="5"/>
    </row>
    <row r="70" spans="1:15" ht="25.5">
      <c r="A70" s="21" t="s">
        <v>169</v>
      </c>
      <c r="B70" s="23" t="s">
        <v>141</v>
      </c>
      <c r="C70" s="39">
        <f>0.207627118644068*1.18</f>
        <v>0.24500000000000022</v>
      </c>
      <c r="D70" s="39">
        <v>0.24499985999999999</v>
      </c>
      <c r="E70" s="39">
        <v>0.30263661779999995</v>
      </c>
      <c r="F70" s="39">
        <v>0.09</v>
      </c>
      <c r="G70" s="103">
        <v>0.122</v>
      </c>
      <c r="H70" s="39">
        <v>0.30263661779999995</v>
      </c>
      <c r="I70" s="39">
        <v>0.30263661779999995</v>
      </c>
      <c r="J70" s="39"/>
      <c r="K70" s="39"/>
      <c r="L70" s="4"/>
      <c r="M70" s="4"/>
      <c r="N70" s="4"/>
      <c r="O70" s="5"/>
    </row>
    <row r="71" spans="1:15" ht="25.5">
      <c r="A71" s="21" t="s">
        <v>170</v>
      </c>
      <c r="B71" s="23" t="s">
        <v>142</v>
      </c>
      <c r="C71" s="4"/>
      <c r="D71" s="47"/>
      <c r="E71" s="39">
        <v>0.013197119999999998</v>
      </c>
      <c r="F71" s="47"/>
      <c r="G71" s="39">
        <v>0.64</v>
      </c>
      <c r="H71" s="39">
        <v>0.013197119999999998</v>
      </c>
      <c r="I71" s="47"/>
      <c r="J71" s="39"/>
      <c r="K71" s="39"/>
      <c r="L71" s="4"/>
      <c r="M71" s="4"/>
      <c r="N71" s="4"/>
      <c r="O71" s="5"/>
    </row>
    <row r="72" spans="1:15" ht="25.5">
      <c r="A72" s="21" t="s">
        <v>184</v>
      </c>
      <c r="B72" s="23" t="s">
        <v>143</v>
      </c>
      <c r="C72" s="4"/>
      <c r="D72" s="47"/>
      <c r="E72" s="39">
        <v>0</v>
      </c>
      <c r="F72" s="47"/>
      <c r="G72" s="39"/>
      <c r="H72" s="39">
        <v>0</v>
      </c>
      <c r="I72" s="47"/>
      <c r="J72" s="39"/>
      <c r="K72" s="39"/>
      <c r="L72" s="4"/>
      <c r="M72" s="4"/>
      <c r="N72" s="4"/>
      <c r="O72" s="5"/>
    </row>
    <row r="73" spans="1:15" ht="25.5">
      <c r="A73" s="21" t="s">
        <v>173</v>
      </c>
      <c r="B73" s="23" t="s">
        <v>144</v>
      </c>
      <c r="C73" s="4"/>
      <c r="D73" s="47"/>
      <c r="E73" s="39">
        <v>0.5621788804</v>
      </c>
      <c r="F73" s="47"/>
      <c r="G73" s="39">
        <v>0.17</v>
      </c>
      <c r="H73" s="39">
        <v>0.5621788804</v>
      </c>
      <c r="I73" s="39">
        <v>0.5621788804</v>
      </c>
      <c r="J73" s="39"/>
      <c r="K73" s="39"/>
      <c r="L73" s="4"/>
      <c r="M73" s="4"/>
      <c r="N73" s="4"/>
      <c r="O73" s="5"/>
    </row>
    <row r="74" spans="1:15" ht="15.75">
      <c r="A74" s="21" t="s">
        <v>174</v>
      </c>
      <c r="B74" s="23" t="s">
        <v>152</v>
      </c>
      <c r="C74" s="4"/>
      <c r="D74" s="39"/>
      <c r="E74" s="39">
        <v>0.255000006</v>
      </c>
      <c r="F74" s="39">
        <v>0.1</v>
      </c>
      <c r="G74" s="39">
        <v>0.1</v>
      </c>
      <c r="H74" s="39">
        <v>0.255000006</v>
      </c>
      <c r="I74" s="39">
        <v>0.2672656812</v>
      </c>
      <c r="J74" s="39"/>
      <c r="K74" s="39"/>
      <c r="L74" s="4"/>
      <c r="M74" s="4"/>
      <c r="N74" s="4"/>
      <c r="O74" s="5"/>
    </row>
    <row r="75" spans="1:15" ht="15.75">
      <c r="A75" s="21" t="s">
        <v>175</v>
      </c>
      <c r="B75" s="23" t="s">
        <v>166</v>
      </c>
      <c r="C75" s="39">
        <f>0.192207*1.18</f>
        <v>0.22680425999999998</v>
      </c>
      <c r="D75" s="39">
        <v>0.22680425999999998</v>
      </c>
      <c r="E75" s="39">
        <v>0.22680437800000003</v>
      </c>
      <c r="F75" s="39">
        <v>0.13</v>
      </c>
      <c r="G75" s="103">
        <v>0.055</v>
      </c>
      <c r="H75" s="39">
        <v>0.22680437800000003</v>
      </c>
      <c r="I75" s="39">
        <v>0.22680437799999997</v>
      </c>
      <c r="J75" s="39"/>
      <c r="K75" s="39"/>
      <c r="L75" s="4"/>
      <c r="M75" s="4"/>
      <c r="N75" s="4"/>
      <c r="O75" s="5"/>
    </row>
    <row r="76" spans="1:15" ht="25.5">
      <c r="A76" s="21" t="s">
        <v>188</v>
      </c>
      <c r="B76" s="23" t="s">
        <v>176</v>
      </c>
      <c r="C76" s="39">
        <f>0.416388*1.18</f>
        <v>0.49133783999999997</v>
      </c>
      <c r="D76" s="39">
        <v>0.49133783999999997</v>
      </c>
      <c r="E76" s="39">
        <v>0.49133400499999996</v>
      </c>
      <c r="F76" s="39">
        <v>0.161</v>
      </c>
      <c r="G76" s="103">
        <v>0.49</v>
      </c>
      <c r="H76" s="39">
        <v>0.49133400499999996</v>
      </c>
      <c r="I76" s="39">
        <v>0.491337545</v>
      </c>
      <c r="J76" s="39"/>
      <c r="K76" s="39"/>
      <c r="L76" s="4"/>
      <c r="M76" s="4"/>
      <c r="N76" s="4"/>
      <c r="O76" s="5"/>
    </row>
    <row r="77" spans="1:15" ht="30.75" customHeight="1">
      <c r="A77" s="21" t="s">
        <v>189</v>
      </c>
      <c r="B77" s="23" t="s">
        <v>167</v>
      </c>
      <c r="C77" s="39">
        <f>0.192*1.18</f>
        <v>0.22655999999999998</v>
      </c>
      <c r="D77" s="39">
        <v>0.22655999999999998</v>
      </c>
      <c r="E77" s="39">
        <v>0.22835617239999997</v>
      </c>
      <c r="F77" s="39">
        <v>0.15</v>
      </c>
      <c r="G77" s="39">
        <v>0.23</v>
      </c>
      <c r="H77" s="39">
        <v>0.22835617239999997</v>
      </c>
      <c r="I77" s="39">
        <v>0.22835617239999997</v>
      </c>
      <c r="J77" s="39"/>
      <c r="K77" s="39"/>
      <c r="L77" s="4"/>
      <c r="M77" s="4"/>
      <c r="N77" s="4"/>
      <c r="O77" s="5"/>
    </row>
    <row r="78" spans="1:15" ht="15.75">
      <c r="A78" s="21" t="s">
        <v>190</v>
      </c>
      <c r="B78" s="23" t="s">
        <v>193</v>
      </c>
      <c r="C78" s="4"/>
      <c r="D78" s="39"/>
      <c r="E78" s="39">
        <v>0.02255806</v>
      </c>
      <c r="F78" s="39"/>
      <c r="G78" s="39"/>
      <c r="H78" s="39">
        <v>0.02255806</v>
      </c>
      <c r="I78" s="39"/>
      <c r="J78" s="39">
        <f>0.177118644067797*1.18</f>
        <v>0.20900000000000046</v>
      </c>
      <c r="K78" s="39"/>
      <c r="L78" s="4"/>
      <c r="M78" s="4"/>
      <c r="N78" s="4"/>
      <c r="O78" s="5"/>
    </row>
    <row r="79" spans="1:15" ht="15.75">
      <c r="A79" s="21" t="s">
        <v>191</v>
      </c>
      <c r="B79" s="23" t="s">
        <v>194</v>
      </c>
      <c r="C79" s="4"/>
      <c r="D79" s="39"/>
      <c r="E79" s="39">
        <v>0.02255806</v>
      </c>
      <c r="F79" s="39"/>
      <c r="G79" s="39"/>
      <c r="H79" s="39">
        <v>0.02255806</v>
      </c>
      <c r="I79" s="39"/>
      <c r="J79" s="39">
        <f>0.484745762711864*1.18</f>
        <v>0.5719999999999995</v>
      </c>
      <c r="K79" s="39"/>
      <c r="L79" s="4"/>
      <c r="M79" s="4"/>
      <c r="N79" s="4"/>
      <c r="O79" s="5"/>
    </row>
    <row r="80" spans="1:15" ht="15.75">
      <c r="A80" s="21" t="s">
        <v>192</v>
      </c>
      <c r="B80" s="23" t="s">
        <v>195</v>
      </c>
      <c r="C80" s="4"/>
      <c r="D80" s="39"/>
      <c r="E80" s="39">
        <v>0.02255806</v>
      </c>
      <c r="F80" s="39"/>
      <c r="G80" s="39"/>
      <c r="H80" s="39">
        <v>0.02255806</v>
      </c>
      <c r="I80" s="39"/>
      <c r="J80" s="39">
        <f>0.167796610169492*1.18</f>
        <v>0.19800000000000054</v>
      </c>
      <c r="K80" s="39"/>
      <c r="L80" s="4"/>
      <c r="M80" s="4"/>
      <c r="N80" s="4"/>
      <c r="O80" s="5"/>
    </row>
    <row r="81" spans="1:15" ht="15.75">
      <c r="A81" s="21" t="s">
        <v>207</v>
      </c>
      <c r="B81" s="23" t="s">
        <v>196</v>
      </c>
      <c r="C81" s="4"/>
      <c r="D81" s="39"/>
      <c r="E81" s="39">
        <v>0.02255806</v>
      </c>
      <c r="F81" s="39"/>
      <c r="G81" s="39"/>
      <c r="H81" s="39">
        <v>0.02255806</v>
      </c>
      <c r="I81" s="39"/>
      <c r="J81" s="39">
        <f>0.247457627118644*1.18</f>
        <v>0.2919999999999999</v>
      </c>
      <c r="K81" s="39"/>
      <c r="L81" s="4"/>
      <c r="M81" s="4"/>
      <c r="N81" s="4"/>
      <c r="O81" s="5"/>
    </row>
    <row r="82" spans="1:15" ht="15.75">
      <c r="A82" s="21" t="s">
        <v>208</v>
      </c>
      <c r="B82" s="23" t="s">
        <v>197</v>
      </c>
      <c r="C82" s="4"/>
      <c r="D82" s="39"/>
      <c r="E82" s="39">
        <v>0.06021894</v>
      </c>
      <c r="F82" s="39"/>
      <c r="G82" s="39">
        <v>0.03</v>
      </c>
      <c r="H82" s="39">
        <v>0.06021894</v>
      </c>
      <c r="I82" s="39">
        <v>0.060218975399999985</v>
      </c>
      <c r="J82" s="39"/>
      <c r="K82" s="39"/>
      <c r="L82" s="4"/>
      <c r="M82" s="4"/>
      <c r="N82" s="4"/>
      <c r="O82" s="5"/>
    </row>
    <row r="83" spans="1:15" ht="15.75">
      <c r="A83" s="21" t="s">
        <v>209</v>
      </c>
      <c r="B83" s="23" t="s">
        <v>198</v>
      </c>
      <c r="C83" s="4"/>
      <c r="D83" s="39"/>
      <c r="E83" s="39">
        <v>0.0691673756</v>
      </c>
      <c r="F83" s="39"/>
      <c r="G83" s="39">
        <v>0.05</v>
      </c>
      <c r="H83" s="39">
        <v>0.0691673756</v>
      </c>
      <c r="I83" s="39">
        <v>0.0691673756</v>
      </c>
      <c r="J83" s="39"/>
      <c r="K83" s="39"/>
      <c r="L83" s="4"/>
      <c r="M83" s="4"/>
      <c r="N83" s="4"/>
      <c r="O83" s="5"/>
    </row>
    <row r="84" spans="1:15" ht="15.75">
      <c r="A84" s="34" t="s">
        <v>96</v>
      </c>
      <c r="B84" s="22" t="s">
        <v>1</v>
      </c>
      <c r="C84" s="38">
        <f>SUM(C85:C89)</f>
        <v>45.454368179999996</v>
      </c>
      <c r="D84" s="38">
        <v>8.820088179999999</v>
      </c>
      <c r="E84" s="38">
        <v>24.186720343399998</v>
      </c>
      <c r="F84" s="38"/>
      <c r="G84" s="38"/>
      <c r="H84" s="38">
        <v>24.186720343399998</v>
      </c>
      <c r="I84" s="38">
        <v>9.744888872</v>
      </c>
      <c r="J84" s="38"/>
      <c r="K84" s="39"/>
      <c r="L84" s="4"/>
      <c r="M84" s="4"/>
      <c r="N84" s="4"/>
      <c r="O84" s="5"/>
    </row>
    <row r="85" spans="1:15" ht="25.5">
      <c r="A85" s="21" t="s">
        <v>61</v>
      </c>
      <c r="B85" s="20" t="s">
        <v>70</v>
      </c>
      <c r="C85" s="104">
        <f>0.532*1.18</f>
        <v>0.62776</v>
      </c>
      <c r="D85" s="39">
        <v>0.62776</v>
      </c>
      <c r="E85" s="39">
        <v>0.7896333794</v>
      </c>
      <c r="F85" s="102">
        <v>1</v>
      </c>
      <c r="G85" s="102">
        <v>1</v>
      </c>
      <c r="H85" s="39">
        <v>0.7896333794</v>
      </c>
      <c r="I85" s="39">
        <v>0.8448693799999998</v>
      </c>
      <c r="J85" s="39"/>
      <c r="K85" s="39"/>
      <c r="L85" s="4"/>
      <c r="M85" s="4"/>
      <c r="N85" s="4"/>
      <c r="O85" s="5"/>
    </row>
    <row r="86" spans="1:15" ht="38.25">
      <c r="A86" s="21" t="s">
        <v>62</v>
      </c>
      <c r="B86" s="23" t="s">
        <v>80</v>
      </c>
      <c r="C86" s="104">
        <f>1.134*1.18</f>
        <v>1.3381199999999998</v>
      </c>
      <c r="D86" s="39">
        <v>0.826</v>
      </c>
      <c r="E86" s="39">
        <v>1.8658967945999998</v>
      </c>
      <c r="F86" s="102">
        <v>1</v>
      </c>
      <c r="G86" s="102">
        <v>1</v>
      </c>
      <c r="H86" s="39">
        <v>1.8658967945999998</v>
      </c>
      <c r="I86" s="39">
        <v>1.8658967945999998</v>
      </c>
      <c r="J86" s="39"/>
      <c r="K86" s="39"/>
      <c r="L86" s="4"/>
      <c r="M86" s="4"/>
      <c r="N86" s="4"/>
      <c r="O86" s="5"/>
    </row>
    <row r="87" spans="1:15" ht="15.75">
      <c r="A87" s="21" t="s">
        <v>63</v>
      </c>
      <c r="B87" s="23" t="s">
        <v>135</v>
      </c>
      <c r="C87" s="104">
        <f>0.242651*1.18</f>
        <v>0.28632818</v>
      </c>
      <c r="D87" s="39">
        <v>0.28632818</v>
      </c>
      <c r="E87" s="39">
        <v>0.28632865199999996</v>
      </c>
      <c r="F87" s="102">
        <v>1</v>
      </c>
      <c r="G87" s="102">
        <v>1</v>
      </c>
      <c r="H87" s="39">
        <v>0.28632865199999996</v>
      </c>
      <c r="I87" s="39">
        <v>0.28632865199999996</v>
      </c>
      <c r="J87" s="39"/>
      <c r="K87" s="39"/>
      <c r="L87" s="4"/>
      <c r="M87" s="4"/>
      <c r="N87" s="4"/>
      <c r="O87" s="5"/>
    </row>
    <row r="88" spans="1:15" ht="25.5">
      <c r="A88" s="21" t="s">
        <v>178</v>
      </c>
      <c r="B88" s="23" t="s">
        <v>180</v>
      </c>
      <c r="C88" s="104">
        <f>36.612*1.18</f>
        <v>43.20216</v>
      </c>
      <c r="D88" s="39">
        <v>7.08</v>
      </c>
      <c r="E88" s="39">
        <v>14.497067472</v>
      </c>
      <c r="F88" s="102">
        <v>1</v>
      </c>
      <c r="G88" s="102">
        <v>1</v>
      </c>
      <c r="H88" s="39">
        <v>14.497067472</v>
      </c>
      <c r="I88" s="39"/>
      <c r="J88" s="39"/>
      <c r="K88" s="39"/>
      <c r="L88" s="4"/>
      <c r="M88" s="4"/>
      <c r="N88" s="4"/>
      <c r="O88" s="5"/>
    </row>
    <row r="89" spans="1:15" ht="15.75">
      <c r="A89" s="21" t="s">
        <v>179</v>
      </c>
      <c r="B89" s="23" t="s">
        <v>163</v>
      </c>
      <c r="C89" s="4"/>
      <c r="D89" s="39"/>
      <c r="E89" s="39">
        <v>6.747794045400001</v>
      </c>
      <c r="F89" s="102">
        <v>1</v>
      </c>
      <c r="G89" s="102">
        <v>1</v>
      </c>
      <c r="H89" s="39">
        <v>6.747794045400001</v>
      </c>
      <c r="I89" s="39">
        <v>6.7477940454</v>
      </c>
      <c r="J89" s="39"/>
      <c r="K89" s="39"/>
      <c r="L89" s="4"/>
      <c r="M89" s="4"/>
      <c r="N89" s="4"/>
      <c r="O89" s="5"/>
    </row>
    <row r="90" spans="1:15" ht="15.75">
      <c r="A90" s="34" t="s">
        <v>97</v>
      </c>
      <c r="B90" s="22" t="s">
        <v>69</v>
      </c>
      <c r="C90" s="38">
        <f>SUM(C91:C94)</f>
        <v>20.97346</v>
      </c>
      <c r="D90" s="38">
        <v>20.97136474</v>
      </c>
      <c r="E90" s="38">
        <v>20.473262951199985</v>
      </c>
      <c r="F90" s="38"/>
      <c r="G90" s="38"/>
      <c r="H90" s="38">
        <v>20.473262951199985</v>
      </c>
      <c r="I90" s="38">
        <v>19.765832218599996</v>
      </c>
      <c r="J90" s="38"/>
      <c r="K90" s="39"/>
      <c r="L90" s="4"/>
      <c r="M90" s="4"/>
      <c r="N90" s="4"/>
      <c r="O90" s="5"/>
    </row>
    <row r="91" spans="1:15" ht="15.75">
      <c r="A91" s="21" t="s">
        <v>71</v>
      </c>
      <c r="B91" s="32" t="s">
        <v>78</v>
      </c>
      <c r="C91" s="39">
        <v>0.89</v>
      </c>
      <c r="D91" s="39">
        <v>0.88854</v>
      </c>
      <c r="E91" s="39">
        <v>0.7074307325999999</v>
      </c>
      <c r="F91" s="39">
        <v>1</v>
      </c>
      <c r="G91" s="39">
        <v>1</v>
      </c>
      <c r="H91" s="39">
        <v>0.7074307325999999</v>
      </c>
      <c r="I91" s="39"/>
      <c r="J91" s="39"/>
      <c r="K91" s="39"/>
      <c r="L91" s="4"/>
      <c r="M91" s="4"/>
      <c r="N91" s="4"/>
      <c r="O91" s="5"/>
    </row>
    <row r="92" spans="1:15" ht="15.75">
      <c r="A92" s="21" t="s">
        <v>72</v>
      </c>
      <c r="B92" s="32" t="s">
        <v>181</v>
      </c>
      <c r="C92" s="39">
        <v>1.03</v>
      </c>
      <c r="D92" s="39">
        <v>1.02982494</v>
      </c>
      <c r="E92" s="39">
        <v>1.0298274888</v>
      </c>
      <c r="F92" s="39">
        <v>2</v>
      </c>
      <c r="G92" s="39">
        <v>2</v>
      </c>
      <c r="H92" s="39">
        <v>1.0298274888</v>
      </c>
      <c r="I92" s="39">
        <v>1.0298274887999999</v>
      </c>
      <c r="J92" s="39"/>
      <c r="K92" s="39"/>
      <c r="L92" s="4"/>
      <c r="M92" s="4"/>
      <c r="N92" s="4"/>
      <c r="O92" s="5"/>
    </row>
    <row r="93" spans="1:15" ht="15.75">
      <c r="A93" s="21" t="s">
        <v>73</v>
      </c>
      <c r="B93" s="29" t="s">
        <v>126</v>
      </c>
      <c r="C93" s="39">
        <f>2.147*1.18</f>
        <v>2.53346</v>
      </c>
      <c r="D93" s="39">
        <v>2.5329998</v>
      </c>
      <c r="E93" s="39">
        <v>2.5354307297999883</v>
      </c>
      <c r="F93" s="39">
        <v>1</v>
      </c>
      <c r="G93" s="39">
        <v>1</v>
      </c>
      <c r="H93" s="39">
        <v>2.5354307297999883</v>
      </c>
      <c r="I93" s="39">
        <v>2.5354307298</v>
      </c>
      <c r="J93" s="39"/>
      <c r="K93" s="39"/>
      <c r="L93" s="4"/>
      <c r="M93" s="4"/>
      <c r="N93" s="4"/>
      <c r="O93" s="5"/>
    </row>
    <row r="94" spans="1:15" ht="25.5">
      <c r="A94" s="21" t="s">
        <v>182</v>
      </c>
      <c r="B94" s="20" t="s">
        <v>183</v>
      </c>
      <c r="C94" s="39">
        <f>14*1.18</f>
        <v>16.52</v>
      </c>
      <c r="D94" s="39">
        <v>16.52</v>
      </c>
      <c r="E94" s="39">
        <v>16.200573999999996</v>
      </c>
      <c r="F94" s="39">
        <v>1</v>
      </c>
      <c r="G94" s="39">
        <v>1</v>
      </c>
      <c r="H94" s="39">
        <v>16.200573999999996</v>
      </c>
      <c r="I94" s="39">
        <v>16.200573999999996</v>
      </c>
      <c r="J94" s="39"/>
      <c r="K94" s="39"/>
      <c r="L94" s="4"/>
      <c r="M94" s="4"/>
      <c r="N94" s="4"/>
      <c r="O94" s="5"/>
    </row>
    <row r="95" spans="1:15" ht="64.5">
      <c r="A95" s="30" t="s">
        <v>98</v>
      </c>
      <c r="B95" s="31" t="s">
        <v>91</v>
      </c>
      <c r="C95" s="38">
        <f>9.722*1.18</f>
        <v>11.47196</v>
      </c>
      <c r="D95" s="38">
        <v>11.47196</v>
      </c>
      <c r="E95" s="38">
        <v>13.1778636508</v>
      </c>
      <c r="F95" s="38">
        <v>6.85</v>
      </c>
      <c r="G95" s="38">
        <v>7.75</v>
      </c>
      <c r="H95" s="38">
        <v>13.1778636508</v>
      </c>
      <c r="I95" s="38">
        <v>13.1779720102</v>
      </c>
      <c r="J95" s="38"/>
      <c r="K95" s="39"/>
      <c r="L95" s="4"/>
      <c r="M95" s="4"/>
      <c r="N95" s="4"/>
      <c r="O95" s="5"/>
    </row>
    <row r="96" spans="1:15" ht="64.5">
      <c r="A96" s="30" t="s">
        <v>108</v>
      </c>
      <c r="B96" s="31" t="s">
        <v>151</v>
      </c>
      <c r="C96" s="3"/>
      <c r="D96" s="38"/>
      <c r="E96" s="38">
        <v>17.5804672154</v>
      </c>
      <c r="F96" s="38"/>
      <c r="G96" s="38" t="s">
        <v>267</v>
      </c>
      <c r="H96" s="38">
        <v>17.5804672154</v>
      </c>
      <c r="I96" s="38">
        <v>17.3180231086</v>
      </c>
      <c r="J96" s="38"/>
      <c r="K96" s="39"/>
      <c r="L96" s="4"/>
      <c r="M96" s="4"/>
      <c r="N96" s="4"/>
      <c r="O96" s="5"/>
    </row>
    <row r="97" spans="1:15" ht="15.75">
      <c r="A97" s="30" t="s">
        <v>111</v>
      </c>
      <c r="B97" s="22" t="s">
        <v>67</v>
      </c>
      <c r="C97" s="3"/>
      <c r="D97" s="38">
        <v>0</v>
      </c>
      <c r="E97" s="38">
        <v>0.6585021506</v>
      </c>
      <c r="F97" s="38"/>
      <c r="G97" s="38"/>
      <c r="H97" s="38">
        <v>0.6585021506</v>
      </c>
      <c r="I97" s="38">
        <v>0.39209274819999995</v>
      </c>
      <c r="J97" s="38">
        <f>SUM(J98:J102)</f>
        <v>0.059</v>
      </c>
      <c r="K97" s="39"/>
      <c r="L97" s="4"/>
      <c r="M97" s="4"/>
      <c r="N97" s="4"/>
      <c r="O97" s="5"/>
    </row>
    <row r="98" spans="1:15" ht="25.5">
      <c r="A98" s="21" t="s">
        <v>199</v>
      </c>
      <c r="B98" s="20" t="s">
        <v>153</v>
      </c>
      <c r="C98" s="3"/>
      <c r="D98" s="39"/>
      <c r="E98" s="39">
        <v>0.03917085519999999</v>
      </c>
      <c r="F98" s="102">
        <v>0</v>
      </c>
      <c r="G98" s="103">
        <v>0.159</v>
      </c>
      <c r="H98" s="39">
        <v>0.03917085519999999</v>
      </c>
      <c r="I98" s="39">
        <v>0.03917085519999999</v>
      </c>
      <c r="J98" s="39"/>
      <c r="K98" s="39"/>
      <c r="L98" s="4"/>
      <c r="M98" s="4"/>
      <c r="N98" s="4"/>
      <c r="O98" s="5"/>
    </row>
    <row r="99" spans="1:15" ht="25.5">
      <c r="A99" s="21" t="s">
        <v>200</v>
      </c>
      <c r="B99" s="20" t="s">
        <v>154</v>
      </c>
      <c r="C99" s="3"/>
      <c r="D99" s="39"/>
      <c r="E99" s="39">
        <v>0.0369704856</v>
      </c>
      <c r="F99" s="102">
        <v>0</v>
      </c>
      <c r="G99" s="103">
        <v>0.065</v>
      </c>
      <c r="H99" s="39">
        <v>0.0369704856</v>
      </c>
      <c r="I99" s="39">
        <v>0.036970473799999994</v>
      </c>
      <c r="J99" s="39"/>
      <c r="K99" s="39"/>
      <c r="L99" s="4"/>
      <c r="M99" s="4"/>
      <c r="N99" s="4"/>
      <c r="O99" s="5"/>
    </row>
    <row r="100" spans="1:15" ht="15.75">
      <c r="A100" s="21" t="s">
        <v>201</v>
      </c>
      <c r="B100" s="20" t="s">
        <v>165</v>
      </c>
      <c r="C100" s="3"/>
      <c r="D100" s="39"/>
      <c r="E100" s="39">
        <v>0.2436101858</v>
      </c>
      <c r="F100" s="39">
        <v>0.43</v>
      </c>
      <c r="G100" s="39">
        <v>0.33</v>
      </c>
      <c r="H100" s="39">
        <v>0.2436101858</v>
      </c>
      <c r="I100" s="39">
        <v>0.261512249</v>
      </c>
      <c r="J100" s="39"/>
      <c r="K100" s="39"/>
      <c r="L100" s="4"/>
      <c r="M100" s="4"/>
      <c r="N100" s="4"/>
      <c r="O100" s="5"/>
    </row>
    <row r="101" spans="1:15" ht="25.5">
      <c r="A101" s="21" t="s">
        <v>202</v>
      </c>
      <c r="B101" s="20" t="s">
        <v>203</v>
      </c>
      <c r="C101" s="3"/>
      <c r="D101" s="39"/>
      <c r="E101" s="39">
        <v>0.2843114538</v>
      </c>
      <c r="F101" s="102">
        <v>0</v>
      </c>
      <c r="G101" s="39">
        <v>0.43</v>
      </c>
      <c r="H101" s="39">
        <v>0.2843114538</v>
      </c>
      <c r="I101" s="39"/>
      <c r="J101" s="39">
        <f>0.05*1.18</f>
        <v>0.059</v>
      </c>
      <c r="K101" s="39"/>
      <c r="L101" s="4"/>
      <c r="M101" s="4"/>
      <c r="N101" s="4"/>
      <c r="O101" s="5"/>
    </row>
    <row r="102" spans="1:15" ht="25.5">
      <c r="A102" s="21" t="s">
        <v>204</v>
      </c>
      <c r="B102" s="20" t="s">
        <v>205</v>
      </c>
      <c r="C102" s="3"/>
      <c r="D102" s="39"/>
      <c r="E102" s="39">
        <v>0.0544391702</v>
      </c>
      <c r="F102" s="102">
        <v>0</v>
      </c>
      <c r="G102" s="39">
        <v>0.11</v>
      </c>
      <c r="H102" s="39">
        <v>0.0544391702</v>
      </c>
      <c r="I102" s="39">
        <v>0.0544391702</v>
      </c>
      <c r="J102" s="39"/>
      <c r="K102" s="39"/>
      <c r="L102" s="4"/>
      <c r="M102" s="4"/>
      <c r="N102" s="4"/>
      <c r="O102" s="5"/>
    </row>
    <row r="103" spans="1:15" ht="15.75">
      <c r="A103" s="123" t="s">
        <v>110</v>
      </c>
      <c r="B103" s="124"/>
      <c r="C103" s="3"/>
      <c r="D103" s="39"/>
      <c r="E103" s="39"/>
      <c r="F103" s="39"/>
      <c r="G103" s="39"/>
      <c r="H103" s="39"/>
      <c r="I103" s="47"/>
      <c r="J103" s="39"/>
      <c r="K103" s="39"/>
      <c r="L103" s="4"/>
      <c r="M103" s="4"/>
      <c r="N103" s="4"/>
      <c r="O103" s="5"/>
    </row>
    <row r="104" spans="1:15" ht="25.5">
      <c r="A104" s="33"/>
      <c r="B104" s="24" t="s">
        <v>118</v>
      </c>
      <c r="C104" s="3"/>
      <c r="D104" s="39"/>
      <c r="E104" s="39"/>
      <c r="F104" s="39"/>
      <c r="G104" s="39"/>
      <c r="H104" s="39"/>
      <c r="I104" s="47"/>
      <c r="J104" s="39"/>
      <c r="K104" s="39"/>
      <c r="L104" s="4"/>
      <c r="M104" s="4"/>
      <c r="N104" s="4"/>
      <c r="O104" s="5"/>
    </row>
    <row r="106" spans="1:7" ht="15.75">
      <c r="A106" s="125" t="s">
        <v>2</v>
      </c>
      <c r="B106" s="126"/>
      <c r="C106" s="11"/>
      <c r="D106" s="40"/>
      <c r="E106" s="40"/>
      <c r="F106" s="40"/>
      <c r="G106" s="40"/>
    </row>
    <row r="107" spans="1:7" ht="15.75">
      <c r="A107" s="125" t="s">
        <v>3</v>
      </c>
      <c r="B107" s="125"/>
      <c r="C107" s="125"/>
      <c r="D107" s="125"/>
      <c r="E107" s="125"/>
      <c r="F107" s="98"/>
      <c r="G107" s="98"/>
    </row>
    <row r="108" ht="15.75">
      <c r="A108" s="1" t="s">
        <v>4</v>
      </c>
    </row>
    <row r="110" spans="1:7" ht="15.75">
      <c r="A110" s="134" t="s">
        <v>5</v>
      </c>
      <c r="B110" s="134"/>
      <c r="C110" s="134"/>
      <c r="D110" s="134"/>
      <c r="E110" s="134"/>
      <c r="F110" s="99"/>
      <c r="G110" s="99"/>
    </row>
    <row r="112" spans="5:7" ht="15.75">
      <c r="E112" s="36"/>
      <c r="F112" s="36"/>
      <c r="G112" s="36"/>
    </row>
    <row r="115" spans="4:10" ht="15.75">
      <c r="D115" s="48">
        <f>D49+D22</f>
        <v>155.80510548</v>
      </c>
      <c r="E115" s="48"/>
      <c r="F115" s="48"/>
      <c r="G115" s="48"/>
      <c r="I115" s="48"/>
      <c r="J115" s="48"/>
    </row>
    <row r="116" spans="3:10" ht="15.75">
      <c r="C116" s="35"/>
      <c r="D116" s="48">
        <f>D115/1.18</f>
        <v>132.03822498305087</v>
      </c>
      <c r="E116" s="48"/>
      <c r="F116" s="48"/>
      <c r="G116" s="48"/>
      <c r="I116" s="48"/>
      <c r="J116" s="48"/>
    </row>
    <row r="117" spans="3:7" ht="15.75">
      <c r="C117" s="35"/>
      <c r="D117" s="48"/>
      <c r="E117" s="48"/>
      <c r="F117" s="48"/>
      <c r="G117" s="48"/>
    </row>
    <row r="118" ht="15.75">
      <c r="C118" s="35"/>
    </row>
    <row r="119" spans="2:11" ht="15.75">
      <c r="B119" s="35"/>
      <c r="C119" s="35"/>
      <c r="D119" s="36"/>
      <c r="E119" s="36"/>
      <c r="F119" s="36"/>
      <c r="G119" s="36"/>
      <c r="I119" s="49"/>
      <c r="J119" s="1"/>
      <c r="K119" s="1"/>
    </row>
    <row r="120" spans="2:11" ht="15.75">
      <c r="B120" s="35"/>
      <c r="C120" s="35"/>
      <c r="I120" s="49"/>
      <c r="J120" s="1"/>
      <c r="K120" s="1"/>
    </row>
    <row r="121" spans="2:11" ht="15.75">
      <c r="B121" s="35"/>
      <c r="C121" s="35"/>
      <c r="D121" s="36"/>
      <c r="E121" s="36"/>
      <c r="F121" s="36"/>
      <c r="G121" s="36"/>
      <c r="H121" s="36"/>
      <c r="I121" s="49"/>
      <c r="J121" s="1"/>
      <c r="K121" s="1"/>
    </row>
    <row r="122" spans="2:11" ht="15.75">
      <c r="B122" s="35"/>
      <c r="C122" s="35"/>
      <c r="I122" s="49"/>
      <c r="J122" s="1"/>
      <c r="K122" s="1"/>
    </row>
    <row r="123" spans="2:11" ht="15.75">
      <c r="B123" s="35"/>
      <c r="C123" s="35"/>
      <c r="D123" s="36"/>
      <c r="E123" s="36"/>
      <c r="F123" s="36"/>
      <c r="G123" s="36"/>
      <c r="I123" s="49"/>
      <c r="J123" s="1"/>
      <c r="K123" s="1"/>
    </row>
    <row r="124" spans="2:11" ht="15.75">
      <c r="B124" s="35"/>
      <c r="C124" s="35"/>
      <c r="D124" s="36"/>
      <c r="E124" s="36"/>
      <c r="F124" s="36"/>
      <c r="G124" s="36"/>
      <c r="H124" s="36"/>
      <c r="I124" s="49"/>
      <c r="J124" s="1"/>
      <c r="K124" s="1"/>
    </row>
    <row r="125" spans="2:11" ht="15.75">
      <c r="B125" s="35"/>
      <c r="C125" s="35"/>
      <c r="D125" s="36"/>
      <c r="E125" s="36"/>
      <c r="F125" s="36"/>
      <c r="G125" s="36"/>
      <c r="H125" s="36"/>
      <c r="I125" s="49"/>
      <c r="J125" s="1"/>
      <c r="K125" s="1"/>
    </row>
    <row r="126" spans="2:11" ht="15.75">
      <c r="B126" s="35"/>
      <c r="C126" s="35"/>
      <c r="H126" s="36"/>
      <c r="I126" s="49"/>
      <c r="J126" s="1"/>
      <c r="K126" s="1"/>
    </row>
    <row r="127" spans="2:11" ht="15.75">
      <c r="B127" s="35"/>
      <c r="C127" s="35"/>
      <c r="D127" s="36"/>
      <c r="E127" s="36"/>
      <c r="F127" s="36"/>
      <c r="G127" s="36"/>
      <c r="H127" s="36"/>
      <c r="I127" s="49"/>
      <c r="J127" s="1"/>
      <c r="K127" s="1"/>
    </row>
    <row r="128" spans="2:11" ht="15.75">
      <c r="B128" s="35"/>
      <c r="C128" s="35"/>
      <c r="D128" s="36"/>
      <c r="E128" s="36"/>
      <c r="F128" s="36"/>
      <c r="G128" s="36"/>
      <c r="H128" s="36"/>
      <c r="I128" s="49"/>
      <c r="J128" s="1"/>
      <c r="K128" s="1"/>
    </row>
    <row r="129" spans="2:11" ht="15.75">
      <c r="B129" s="35"/>
      <c r="C129" s="35"/>
      <c r="D129" s="36"/>
      <c r="E129" s="36"/>
      <c r="F129" s="36"/>
      <c r="G129" s="36"/>
      <c r="H129" s="36"/>
      <c r="I129" s="49"/>
      <c r="J129" s="1"/>
      <c r="K129" s="1"/>
    </row>
    <row r="130" spans="2:11" ht="15.75">
      <c r="B130" s="35"/>
      <c r="C130" s="35"/>
      <c r="D130" s="36"/>
      <c r="E130" s="36"/>
      <c r="F130" s="36"/>
      <c r="G130" s="36"/>
      <c r="H130" s="36"/>
      <c r="I130" s="49"/>
      <c r="J130" s="1"/>
      <c r="K130" s="1"/>
    </row>
    <row r="131" spans="2:11" ht="15.75">
      <c r="B131" s="35"/>
      <c r="C131" s="35"/>
      <c r="D131" s="36"/>
      <c r="E131" s="36"/>
      <c r="F131" s="36"/>
      <c r="G131" s="36"/>
      <c r="H131" s="36"/>
      <c r="I131" s="49"/>
      <c r="J131" s="1"/>
      <c r="K131" s="1"/>
    </row>
    <row r="132" spans="2:11" ht="31.5" customHeight="1">
      <c r="B132" s="35"/>
      <c r="C132" s="35"/>
      <c r="D132" s="36"/>
      <c r="E132" s="36"/>
      <c r="F132" s="36"/>
      <c r="G132" s="36"/>
      <c r="H132" s="36"/>
      <c r="I132" s="49"/>
      <c r="J132" s="1"/>
      <c r="K132" s="1"/>
    </row>
    <row r="133" spans="2:11" ht="15.75">
      <c r="B133" s="35"/>
      <c r="C133" s="35"/>
      <c r="D133" s="36"/>
      <c r="E133" s="36"/>
      <c r="F133" s="36"/>
      <c r="G133" s="36"/>
      <c r="H133" s="36"/>
      <c r="I133" s="49"/>
      <c r="J133" s="1"/>
      <c r="K133" s="1"/>
    </row>
    <row r="134" spans="2:11" ht="15.75">
      <c r="B134" s="35"/>
      <c r="C134" s="35"/>
      <c r="D134" s="36"/>
      <c r="E134" s="36"/>
      <c r="F134" s="36"/>
      <c r="G134" s="36"/>
      <c r="H134" s="36"/>
      <c r="I134" s="49"/>
      <c r="J134" s="1"/>
      <c r="K134" s="1"/>
    </row>
    <row r="135" spans="2:11" ht="15.75">
      <c r="B135" s="35"/>
      <c r="C135" s="35"/>
      <c r="D135" s="36"/>
      <c r="E135" s="36"/>
      <c r="F135" s="36"/>
      <c r="G135" s="36"/>
      <c r="H135" s="36"/>
      <c r="I135" s="49"/>
      <c r="J135" s="1"/>
      <c r="K135" s="1"/>
    </row>
    <row r="136" spans="2:11" ht="15.75">
      <c r="B136" s="35"/>
      <c r="C136" s="35"/>
      <c r="D136" s="36"/>
      <c r="E136" s="36"/>
      <c r="F136" s="36"/>
      <c r="G136" s="36"/>
      <c r="H136" s="36"/>
      <c r="I136" s="49"/>
      <c r="J136" s="1"/>
      <c r="K136" s="1"/>
    </row>
    <row r="137" spans="2:11" ht="15.75">
      <c r="B137" s="35"/>
      <c r="C137" s="35"/>
      <c r="D137" s="36"/>
      <c r="E137" s="36"/>
      <c r="F137" s="36"/>
      <c r="G137" s="36"/>
      <c r="H137" s="36"/>
      <c r="I137" s="49"/>
      <c r="J137" s="1"/>
      <c r="K137" s="1"/>
    </row>
    <row r="138" spans="2:11" ht="15.75">
      <c r="B138" s="35"/>
      <c r="C138" s="35"/>
      <c r="D138" s="36"/>
      <c r="E138" s="36"/>
      <c r="F138" s="36"/>
      <c r="G138" s="36"/>
      <c r="H138" s="36"/>
      <c r="I138" s="49"/>
      <c r="J138" s="1"/>
      <c r="K138" s="1"/>
    </row>
    <row r="139" spans="2:11" ht="15.75">
      <c r="B139" s="35"/>
      <c r="C139" s="35"/>
      <c r="D139" s="36"/>
      <c r="E139" s="36"/>
      <c r="F139" s="36"/>
      <c r="G139" s="36"/>
      <c r="H139" s="36"/>
      <c r="I139" s="49"/>
      <c r="J139" s="1"/>
      <c r="K139" s="1"/>
    </row>
    <row r="140" spans="2:11" ht="15.75">
      <c r="B140" s="35"/>
      <c r="C140" s="35"/>
      <c r="D140" s="36"/>
      <c r="E140" s="36"/>
      <c r="F140" s="36"/>
      <c r="G140" s="36"/>
      <c r="H140" s="36"/>
      <c r="I140" s="49"/>
      <c r="J140" s="1"/>
      <c r="K140" s="1"/>
    </row>
    <row r="141" spans="2:11" ht="15.75">
      <c r="B141" s="35"/>
      <c r="C141" s="35"/>
      <c r="D141" s="36"/>
      <c r="E141" s="36"/>
      <c r="F141" s="36"/>
      <c r="G141" s="36"/>
      <c r="H141" s="36"/>
      <c r="I141" s="49"/>
      <c r="J141" s="1"/>
      <c r="K141" s="1"/>
    </row>
    <row r="142" spans="2:11" ht="15.75">
      <c r="B142" s="35"/>
      <c r="C142" s="35"/>
      <c r="D142" s="36"/>
      <c r="E142" s="36"/>
      <c r="F142" s="36"/>
      <c r="G142" s="36"/>
      <c r="H142" s="36"/>
      <c r="I142" s="49"/>
      <c r="J142" s="1"/>
      <c r="K142" s="1"/>
    </row>
    <row r="143" spans="2:11" ht="15.75">
      <c r="B143" s="35"/>
      <c r="C143" s="35"/>
      <c r="D143" s="36"/>
      <c r="E143" s="36"/>
      <c r="F143" s="36"/>
      <c r="G143" s="36"/>
      <c r="H143" s="36"/>
      <c r="I143" s="49"/>
      <c r="J143" s="1"/>
      <c r="K143" s="1"/>
    </row>
    <row r="144" spans="2:11" ht="15.75">
      <c r="B144" s="35"/>
      <c r="C144" s="35"/>
      <c r="D144" s="36"/>
      <c r="E144" s="36"/>
      <c r="F144" s="36"/>
      <c r="G144" s="36"/>
      <c r="H144" s="36"/>
      <c r="I144" s="49"/>
      <c r="J144" s="1"/>
      <c r="K144" s="1"/>
    </row>
    <row r="145" spans="2:11" ht="15.75">
      <c r="B145" s="35"/>
      <c r="C145" s="35"/>
      <c r="D145" s="36"/>
      <c r="E145" s="36"/>
      <c r="F145" s="36"/>
      <c r="G145" s="36"/>
      <c r="H145" s="36"/>
      <c r="I145" s="49"/>
      <c r="J145" s="1"/>
      <c r="K145" s="1"/>
    </row>
    <row r="146" spans="2:11" ht="15.75">
      <c r="B146" s="35"/>
      <c r="C146" s="35"/>
      <c r="D146" s="36"/>
      <c r="E146" s="36"/>
      <c r="F146" s="36"/>
      <c r="G146" s="36"/>
      <c r="H146" s="36"/>
      <c r="I146" s="49"/>
      <c r="J146" s="1"/>
      <c r="K146" s="1"/>
    </row>
    <row r="147" spans="2:11" ht="15.75">
      <c r="B147" s="35"/>
      <c r="C147" s="35"/>
      <c r="D147" s="36"/>
      <c r="E147" s="36"/>
      <c r="F147" s="36"/>
      <c r="G147" s="36"/>
      <c r="H147" s="36"/>
      <c r="I147" s="49"/>
      <c r="J147" s="1"/>
      <c r="K147" s="1"/>
    </row>
    <row r="148" spans="2:11" ht="15.75">
      <c r="B148" s="35"/>
      <c r="C148" s="35"/>
      <c r="D148" s="36"/>
      <c r="E148" s="36"/>
      <c r="F148" s="36"/>
      <c r="G148" s="36"/>
      <c r="H148" s="36"/>
      <c r="I148" s="49"/>
      <c r="J148" s="1"/>
      <c r="K148" s="1"/>
    </row>
    <row r="149" spans="2:11" ht="15.75">
      <c r="B149" s="35"/>
      <c r="C149" s="35"/>
      <c r="D149" s="36"/>
      <c r="E149" s="36"/>
      <c r="F149" s="36"/>
      <c r="G149" s="36"/>
      <c r="H149" s="36"/>
      <c r="I149" s="49"/>
      <c r="J149" s="1"/>
      <c r="K149" s="1"/>
    </row>
    <row r="150" spans="2:11" ht="15.75">
      <c r="B150" s="35"/>
      <c r="C150" s="35"/>
      <c r="D150" s="36"/>
      <c r="E150" s="36"/>
      <c r="F150" s="36"/>
      <c r="G150" s="36"/>
      <c r="H150" s="36"/>
      <c r="I150" s="49"/>
      <c r="J150" s="1"/>
      <c r="K150" s="1"/>
    </row>
    <row r="151" spans="2:11" ht="15.75">
      <c r="B151" s="35"/>
      <c r="C151" s="35"/>
      <c r="D151" s="36"/>
      <c r="E151" s="36"/>
      <c r="F151" s="36"/>
      <c r="G151" s="36"/>
      <c r="H151" s="36"/>
      <c r="I151" s="49"/>
      <c r="J151" s="1"/>
      <c r="K151" s="1"/>
    </row>
    <row r="152" spans="2:11" ht="15.75">
      <c r="B152" s="35"/>
      <c r="C152" s="35"/>
      <c r="D152" s="36"/>
      <c r="E152" s="36"/>
      <c r="F152" s="36"/>
      <c r="G152" s="36"/>
      <c r="H152" s="36"/>
      <c r="I152" s="49"/>
      <c r="J152" s="1"/>
      <c r="K152" s="1"/>
    </row>
    <row r="153" spans="2:11" ht="15.75">
      <c r="B153" s="35"/>
      <c r="C153" s="35"/>
      <c r="D153" s="36"/>
      <c r="E153" s="36"/>
      <c r="F153" s="36"/>
      <c r="G153" s="36"/>
      <c r="H153" s="36"/>
      <c r="I153" s="49"/>
      <c r="J153" s="1"/>
      <c r="K153" s="1"/>
    </row>
    <row r="154" spans="2:11" ht="15.75">
      <c r="B154" s="35"/>
      <c r="C154" s="35"/>
      <c r="D154" s="36"/>
      <c r="E154" s="36"/>
      <c r="F154" s="36"/>
      <c r="G154" s="36"/>
      <c r="H154" s="36"/>
      <c r="I154" s="49"/>
      <c r="J154" s="1"/>
      <c r="K154" s="1"/>
    </row>
    <row r="155" spans="2:11" ht="15.75">
      <c r="B155" s="35"/>
      <c r="C155" s="35"/>
      <c r="D155" s="36"/>
      <c r="E155" s="36"/>
      <c r="F155" s="36"/>
      <c r="G155" s="36"/>
      <c r="H155" s="36"/>
      <c r="I155" s="49"/>
      <c r="J155" s="1"/>
      <c r="K155" s="1"/>
    </row>
    <row r="156" spans="2:11" ht="15.75">
      <c r="B156" s="35"/>
      <c r="C156" s="35"/>
      <c r="D156" s="36"/>
      <c r="E156" s="36"/>
      <c r="F156" s="36"/>
      <c r="G156" s="36"/>
      <c r="H156" s="36"/>
      <c r="I156" s="49"/>
      <c r="J156" s="1"/>
      <c r="K156" s="1"/>
    </row>
    <row r="157" spans="2:11" ht="15.75">
      <c r="B157" s="35"/>
      <c r="C157" s="35"/>
      <c r="D157" s="36"/>
      <c r="E157" s="36"/>
      <c r="F157" s="36"/>
      <c r="G157" s="36"/>
      <c r="H157" s="36"/>
      <c r="I157" s="49"/>
      <c r="J157" s="1"/>
      <c r="K157" s="1"/>
    </row>
    <row r="158" spans="2:11" ht="15.75">
      <c r="B158" s="35"/>
      <c r="C158" s="35"/>
      <c r="D158" s="36"/>
      <c r="E158" s="36"/>
      <c r="F158" s="36"/>
      <c r="G158" s="36"/>
      <c r="H158" s="36"/>
      <c r="I158" s="49"/>
      <c r="J158" s="1"/>
      <c r="K158" s="1"/>
    </row>
    <row r="159" spans="2:11" ht="15.75">
      <c r="B159" s="35"/>
      <c r="C159" s="35"/>
      <c r="D159" s="36"/>
      <c r="E159" s="36"/>
      <c r="F159" s="36"/>
      <c r="G159" s="36"/>
      <c r="H159" s="36"/>
      <c r="I159" s="49"/>
      <c r="J159" s="1"/>
      <c r="K159" s="1"/>
    </row>
    <row r="160" spans="2:11" ht="15.75">
      <c r="B160" s="35"/>
      <c r="C160" s="35"/>
      <c r="D160" s="36"/>
      <c r="E160" s="36"/>
      <c r="F160" s="36"/>
      <c r="G160" s="36"/>
      <c r="H160" s="36"/>
      <c r="I160" s="49"/>
      <c r="J160" s="1"/>
      <c r="K160" s="1"/>
    </row>
    <row r="161" spans="2:11" ht="15.75">
      <c r="B161" s="35"/>
      <c r="C161" s="35"/>
      <c r="D161" s="36"/>
      <c r="E161" s="36"/>
      <c r="F161" s="36"/>
      <c r="G161" s="36"/>
      <c r="H161" s="36"/>
      <c r="I161" s="49"/>
      <c r="J161" s="1"/>
      <c r="K161" s="1"/>
    </row>
    <row r="162" spans="2:11" ht="15.75">
      <c r="B162" s="35"/>
      <c r="C162" s="35"/>
      <c r="D162" s="36"/>
      <c r="E162" s="36"/>
      <c r="F162" s="36"/>
      <c r="G162" s="36"/>
      <c r="H162" s="36"/>
      <c r="I162" s="49"/>
      <c r="J162" s="1"/>
      <c r="K162" s="1"/>
    </row>
    <row r="163" spans="2:11" ht="15.75">
      <c r="B163" s="35"/>
      <c r="C163" s="35"/>
      <c r="D163" s="36"/>
      <c r="E163" s="36"/>
      <c r="F163" s="36"/>
      <c r="G163" s="36"/>
      <c r="H163" s="36"/>
      <c r="I163" s="49"/>
      <c r="J163" s="1"/>
      <c r="K163" s="1"/>
    </row>
    <row r="164" spans="2:11" ht="15.75">
      <c r="B164" s="35"/>
      <c r="C164" s="35"/>
      <c r="D164" s="36"/>
      <c r="E164" s="36"/>
      <c r="F164" s="36"/>
      <c r="G164" s="36"/>
      <c r="H164" s="36"/>
      <c r="I164" s="49"/>
      <c r="J164" s="1"/>
      <c r="K164" s="1"/>
    </row>
    <row r="165" spans="2:11" ht="15.75">
      <c r="B165" s="35"/>
      <c r="C165" s="35"/>
      <c r="D165" s="36"/>
      <c r="E165" s="36"/>
      <c r="F165" s="36"/>
      <c r="G165" s="36"/>
      <c r="H165" s="36"/>
      <c r="I165" s="49"/>
      <c r="J165" s="1"/>
      <c r="K165" s="1"/>
    </row>
    <row r="166" spans="2:11" ht="15.75">
      <c r="B166" s="35"/>
      <c r="C166" s="35"/>
      <c r="D166" s="36"/>
      <c r="E166" s="36"/>
      <c r="F166" s="36"/>
      <c r="G166" s="36"/>
      <c r="H166" s="36"/>
      <c r="I166" s="49"/>
      <c r="J166" s="1"/>
      <c r="K166" s="1"/>
    </row>
    <row r="167" spans="2:11" ht="15.75">
      <c r="B167" s="35"/>
      <c r="C167" s="35"/>
      <c r="D167" s="36"/>
      <c r="E167" s="36"/>
      <c r="F167" s="36"/>
      <c r="G167" s="36"/>
      <c r="H167" s="36"/>
      <c r="I167" s="49"/>
      <c r="J167" s="1"/>
      <c r="K167" s="1"/>
    </row>
    <row r="168" spans="2:11" ht="15.75">
      <c r="B168" s="35"/>
      <c r="C168" s="35"/>
      <c r="D168" s="36"/>
      <c r="E168" s="36"/>
      <c r="F168" s="36"/>
      <c r="G168" s="36"/>
      <c r="H168" s="36"/>
      <c r="I168" s="49"/>
      <c r="J168" s="1"/>
      <c r="K168" s="1"/>
    </row>
    <row r="169" spans="2:11" ht="15.75">
      <c r="B169" s="35"/>
      <c r="C169" s="35"/>
      <c r="D169" s="36"/>
      <c r="E169" s="36"/>
      <c r="F169" s="36"/>
      <c r="G169" s="36"/>
      <c r="H169" s="36"/>
      <c r="I169" s="49"/>
      <c r="J169" s="1"/>
      <c r="K169" s="1"/>
    </row>
    <row r="170" spans="2:11" ht="15.75">
      <c r="B170" s="35"/>
      <c r="C170" s="35"/>
      <c r="D170" s="36"/>
      <c r="E170" s="36"/>
      <c r="F170" s="36"/>
      <c r="G170" s="36"/>
      <c r="H170" s="36"/>
      <c r="I170" s="49"/>
      <c r="J170" s="1"/>
      <c r="K170" s="1"/>
    </row>
    <row r="171" spans="2:11" ht="15.75">
      <c r="B171" s="35"/>
      <c r="C171" s="35"/>
      <c r="D171" s="36"/>
      <c r="E171" s="36"/>
      <c r="F171" s="36"/>
      <c r="G171" s="36"/>
      <c r="H171" s="36"/>
      <c r="I171" s="49"/>
      <c r="J171" s="1"/>
      <c r="K171" s="1"/>
    </row>
    <row r="172" spans="2:11" ht="15.75">
      <c r="B172" s="35"/>
      <c r="C172" s="35"/>
      <c r="D172" s="36"/>
      <c r="E172" s="36"/>
      <c r="F172" s="36"/>
      <c r="G172" s="36"/>
      <c r="H172" s="36"/>
      <c r="I172" s="49"/>
      <c r="J172" s="1"/>
      <c r="K172" s="1"/>
    </row>
    <row r="173" spans="2:11" ht="15.75">
      <c r="B173" s="35"/>
      <c r="C173" s="35"/>
      <c r="D173" s="36"/>
      <c r="E173" s="36"/>
      <c r="F173" s="36"/>
      <c r="G173" s="36"/>
      <c r="H173" s="36"/>
      <c r="I173" s="49"/>
      <c r="J173" s="1"/>
      <c r="K173" s="1"/>
    </row>
    <row r="174" spans="2:11" ht="15.75">
      <c r="B174" s="35"/>
      <c r="C174" s="35"/>
      <c r="D174" s="36"/>
      <c r="E174" s="36"/>
      <c r="F174" s="36"/>
      <c r="G174" s="36"/>
      <c r="H174" s="36"/>
      <c r="I174" s="49"/>
      <c r="J174" s="1"/>
      <c r="K174" s="1"/>
    </row>
    <row r="175" spans="2:11" ht="15.75">
      <c r="B175" s="35"/>
      <c r="C175" s="35"/>
      <c r="D175" s="36"/>
      <c r="E175" s="36"/>
      <c r="F175" s="36"/>
      <c r="G175" s="36"/>
      <c r="H175" s="36"/>
      <c r="I175" s="49"/>
      <c r="J175" s="1"/>
      <c r="K175" s="1"/>
    </row>
    <row r="176" spans="2:11" ht="15.75">
      <c r="B176" s="35"/>
      <c r="C176" s="35"/>
      <c r="D176" s="36"/>
      <c r="E176" s="36"/>
      <c r="F176" s="36"/>
      <c r="G176" s="36"/>
      <c r="H176" s="36"/>
      <c r="I176" s="49"/>
      <c r="J176" s="1"/>
      <c r="K176" s="1"/>
    </row>
    <row r="177" spans="2:11" ht="15.75">
      <c r="B177" s="35"/>
      <c r="C177" s="35"/>
      <c r="D177" s="36"/>
      <c r="E177" s="36"/>
      <c r="F177" s="36"/>
      <c r="G177" s="36"/>
      <c r="H177" s="36"/>
      <c r="I177" s="49"/>
      <c r="J177" s="1"/>
      <c r="K177" s="1"/>
    </row>
    <row r="178" spans="2:11" ht="15.75">
      <c r="B178" s="35"/>
      <c r="C178" s="35"/>
      <c r="D178" s="36"/>
      <c r="E178" s="36"/>
      <c r="F178" s="36"/>
      <c r="G178" s="36"/>
      <c r="H178" s="36"/>
      <c r="I178" s="49"/>
      <c r="J178" s="1"/>
      <c r="K178" s="1"/>
    </row>
    <row r="179" spans="2:11" ht="15.75">
      <c r="B179" s="35"/>
      <c r="C179" s="35"/>
      <c r="D179" s="36"/>
      <c r="E179" s="36"/>
      <c r="F179" s="36"/>
      <c r="G179" s="36"/>
      <c r="H179" s="36"/>
      <c r="I179" s="49"/>
      <c r="J179" s="1"/>
      <c r="K179" s="1"/>
    </row>
    <row r="180" spans="2:11" ht="15.75">
      <c r="B180" s="35"/>
      <c r="C180" s="35"/>
      <c r="D180" s="36"/>
      <c r="E180" s="36"/>
      <c r="F180" s="36"/>
      <c r="G180" s="36"/>
      <c r="H180" s="36"/>
      <c r="I180" s="49"/>
      <c r="J180" s="1"/>
      <c r="K180" s="1"/>
    </row>
    <row r="181" spans="2:11" ht="15.75">
      <c r="B181" s="35"/>
      <c r="C181" s="35"/>
      <c r="D181" s="36"/>
      <c r="E181" s="36"/>
      <c r="F181" s="36"/>
      <c r="G181" s="36"/>
      <c r="H181" s="36"/>
      <c r="I181" s="49"/>
      <c r="J181" s="1"/>
      <c r="K181" s="1"/>
    </row>
    <row r="182" spans="2:11" ht="15.75">
      <c r="B182" s="35"/>
      <c r="C182" s="35"/>
      <c r="D182" s="36"/>
      <c r="E182" s="36"/>
      <c r="F182" s="36"/>
      <c r="G182" s="36"/>
      <c r="H182" s="36"/>
      <c r="I182" s="49"/>
      <c r="J182" s="1"/>
      <c r="K182" s="1"/>
    </row>
    <row r="183" spans="2:11" ht="15.75">
      <c r="B183" s="35"/>
      <c r="C183" s="35"/>
      <c r="D183" s="36"/>
      <c r="E183" s="36"/>
      <c r="F183" s="36"/>
      <c r="G183" s="36"/>
      <c r="H183" s="36"/>
      <c r="I183" s="49"/>
      <c r="J183" s="1"/>
      <c r="K183" s="1"/>
    </row>
    <row r="184" spans="2:11" ht="15.75">
      <c r="B184" s="35"/>
      <c r="C184" s="35"/>
      <c r="D184" s="36"/>
      <c r="E184" s="36"/>
      <c r="F184" s="36"/>
      <c r="G184" s="36"/>
      <c r="H184" s="36"/>
      <c r="I184" s="49"/>
      <c r="J184" s="1"/>
      <c r="K184" s="1"/>
    </row>
    <row r="185" spans="2:11" ht="15.75">
      <c r="B185" s="35"/>
      <c r="C185" s="35"/>
      <c r="D185" s="36"/>
      <c r="E185" s="36"/>
      <c r="F185" s="36"/>
      <c r="G185" s="36"/>
      <c r="H185" s="36"/>
      <c r="I185" s="49"/>
      <c r="J185" s="1"/>
      <c r="K185" s="1"/>
    </row>
    <row r="186" spans="2:11" ht="15.75">
      <c r="B186" s="35"/>
      <c r="C186" s="35"/>
      <c r="D186" s="36"/>
      <c r="E186" s="36"/>
      <c r="F186" s="36"/>
      <c r="G186" s="36"/>
      <c r="H186" s="36"/>
      <c r="I186" s="49"/>
      <c r="J186" s="1"/>
      <c r="K186" s="1"/>
    </row>
    <row r="187" spans="2:11" ht="15.75">
      <c r="B187" s="35"/>
      <c r="C187" s="35"/>
      <c r="D187" s="36"/>
      <c r="E187" s="36"/>
      <c r="F187" s="36"/>
      <c r="G187" s="36"/>
      <c r="H187" s="36"/>
      <c r="I187" s="49"/>
      <c r="J187" s="1"/>
      <c r="K187" s="1"/>
    </row>
    <row r="188" spans="2:11" ht="15.75">
      <c r="B188" s="35"/>
      <c r="C188" s="35"/>
      <c r="D188" s="36"/>
      <c r="E188" s="36"/>
      <c r="F188" s="36"/>
      <c r="G188" s="36"/>
      <c r="H188" s="36"/>
      <c r="I188" s="49"/>
      <c r="J188" s="1"/>
      <c r="K188" s="1"/>
    </row>
  </sheetData>
  <sheetProtection/>
  <mergeCells count="37">
    <mergeCell ref="A8:O8"/>
    <mergeCell ref="K18:N18"/>
    <mergeCell ref="H18:H19"/>
    <mergeCell ref="J18:J20"/>
    <mergeCell ref="K19:K20"/>
    <mergeCell ref="A9:O9"/>
    <mergeCell ref="C11:D12"/>
    <mergeCell ref="H11:I11"/>
    <mergeCell ref="E12:G12"/>
    <mergeCell ref="A110:E110"/>
    <mergeCell ref="A107:E107"/>
    <mergeCell ref="I18:I19"/>
    <mergeCell ref="A18:A20"/>
    <mergeCell ref="B18:B20"/>
    <mergeCell ref="C18:C20"/>
    <mergeCell ref="D18:E19"/>
    <mergeCell ref="F18:G19"/>
    <mergeCell ref="A103:B103"/>
    <mergeCell ref="A106:B106"/>
    <mergeCell ref="O18:O20"/>
    <mergeCell ref="L19:L20"/>
    <mergeCell ref="M19:N19"/>
    <mergeCell ref="L6:O6"/>
    <mergeCell ref="A7:O7"/>
    <mergeCell ref="H12:I12"/>
    <mergeCell ref="H13:I13"/>
    <mergeCell ref="C13:G13"/>
    <mergeCell ref="C14:G14"/>
    <mergeCell ref="H14:I14"/>
    <mergeCell ref="A1:O1"/>
    <mergeCell ref="B3:D3"/>
    <mergeCell ref="M3:O3"/>
    <mergeCell ref="B4:D4"/>
    <mergeCell ref="M4:O4"/>
    <mergeCell ref="B5:D5"/>
    <mergeCell ref="M5:O5"/>
    <mergeCell ref="B6:D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61:B66 B27:B28 B37 B89 B98:B102 B74:B83">
      <formula1>900</formula1>
    </dataValidation>
    <dataValidation type="decimal" allowBlank="1" showErrorMessage="1" errorTitle="Ошибка" error="Допускается ввод только неотрицательных чисел!" sqref="I92">
      <formula1>0</formula1>
      <formula2>9.99999999999999E+23</formula2>
    </dataValidation>
  </dataValidations>
  <hyperlinks>
    <hyperlink ref="H12" r:id="rId1" display="http://cherel.ru/"/>
  </hyperlinks>
  <printOptions horizontalCentered="1"/>
  <pageMargins left="0.7086614173228347" right="0" top="0.7480314960629921" bottom="0" header="0.31496062992125984" footer="0.31496062992125984"/>
  <pageSetup fitToHeight="1" fitToWidth="1" horizontalDpi="600" verticalDpi="600" orientation="portrait" paperSize="8" scale="37" r:id="rId2"/>
  <ignoredErrors>
    <ignoredError sqref="A84:A94 A25:A35 A67 A38 A45:A6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8"/>
  <sheetViews>
    <sheetView zoomScale="70" zoomScaleNormal="70" zoomScalePageLayoutView="0" workbookViewId="0" topLeftCell="A1">
      <selection activeCell="AC13" sqref="AC13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12.50390625" style="1" bestFit="1" customWidth="1"/>
    <col min="4" max="4" width="5.25390625" style="1" bestFit="1" customWidth="1"/>
    <col min="5" max="5" width="12.50390625" style="9" bestFit="1" customWidth="1"/>
    <col min="6" max="6" width="13.375" style="9" bestFit="1" customWidth="1"/>
    <col min="7" max="7" width="7.50390625" style="9" customWidth="1"/>
    <col min="8" max="8" width="12.50390625" style="1" bestFit="1" customWidth="1"/>
    <col min="9" max="9" width="5.25390625" style="1" bestFit="1" customWidth="1"/>
    <col min="10" max="10" width="12.50390625" style="1" bestFit="1" customWidth="1"/>
    <col min="11" max="11" width="10.25390625" style="1" bestFit="1" customWidth="1"/>
    <col min="12" max="12" width="7.75390625" style="1" customWidth="1"/>
    <col min="13" max="16" width="6.50390625" style="1" customWidth="1"/>
    <col min="17" max="17" width="7.50390625" style="1" bestFit="1" customWidth="1"/>
    <col min="18" max="18" width="9.00390625" style="1" customWidth="1"/>
    <col min="19" max="19" width="6.125" style="1" customWidth="1"/>
    <col min="20" max="20" width="7.50390625" style="1" customWidth="1"/>
    <col min="21" max="21" width="7.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7.75390625" style="1" customWidth="1"/>
    <col min="28" max="28" width="9.125" style="1" customWidth="1"/>
    <col min="29" max="29" width="9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7.50390625" style="1" customWidth="1"/>
    <col min="34" max="34" width="7.125" style="1" customWidth="1"/>
    <col min="35" max="35" width="8.125" style="1" customWidth="1"/>
    <col min="36" max="36" width="10.25390625" style="1" customWidth="1"/>
    <col min="37" max="16384" width="9.00390625" style="1" customWidth="1"/>
  </cols>
  <sheetData>
    <row r="1" spans="1:36" s="106" customFormat="1" ht="29.25" customHeight="1">
      <c r="A1" s="162" t="s">
        <v>246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  <c r="AI1" s="163"/>
      <c r="AJ1" s="163"/>
    </row>
    <row r="2" s="106" customFormat="1" ht="15"/>
    <row r="3" spans="29:36" s="106" customFormat="1" ht="15">
      <c r="AC3" s="120" t="s">
        <v>262</v>
      </c>
      <c r="AD3" s="120"/>
      <c r="AE3" s="120"/>
      <c r="AF3" s="120"/>
      <c r="AG3" s="120"/>
      <c r="AH3" s="120"/>
      <c r="AI3" s="120"/>
      <c r="AJ3" s="120"/>
    </row>
    <row r="4" s="106" customFormat="1" ht="15.75" customHeight="1"/>
    <row r="5" spans="1:33" s="111" customFormat="1" ht="12.75" customHeight="1">
      <c r="A5" s="112" t="s">
        <v>263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</row>
    <row r="6" spans="1:36" ht="16.5" thickBo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</row>
    <row r="7" spans="1:36" ht="22.5" customHeight="1">
      <c r="A7" s="165" t="s">
        <v>100</v>
      </c>
      <c r="B7" s="167" t="s">
        <v>10</v>
      </c>
      <c r="C7" s="169" t="s">
        <v>28</v>
      </c>
      <c r="D7" s="170"/>
      <c r="E7" s="170"/>
      <c r="F7" s="170"/>
      <c r="G7" s="171"/>
      <c r="H7" s="169" t="s">
        <v>29</v>
      </c>
      <c r="I7" s="170"/>
      <c r="J7" s="170"/>
      <c r="K7" s="170"/>
      <c r="L7" s="171"/>
      <c r="M7" s="169" t="s">
        <v>30</v>
      </c>
      <c r="N7" s="170"/>
      <c r="O7" s="170"/>
      <c r="P7" s="170"/>
      <c r="Q7" s="171"/>
      <c r="R7" s="169" t="s">
        <v>31</v>
      </c>
      <c r="S7" s="170"/>
      <c r="T7" s="170"/>
      <c r="U7" s="170"/>
      <c r="V7" s="171"/>
      <c r="W7" s="175" t="s">
        <v>11</v>
      </c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7"/>
    </row>
    <row r="8" spans="1:36" ht="27.75" customHeight="1" thickBot="1">
      <c r="A8" s="166"/>
      <c r="B8" s="168"/>
      <c r="C8" s="172"/>
      <c r="D8" s="173"/>
      <c r="E8" s="173"/>
      <c r="F8" s="173"/>
      <c r="G8" s="174"/>
      <c r="H8" s="172"/>
      <c r="I8" s="173"/>
      <c r="J8" s="173"/>
      <c r="K8" s="173"/>
      <c r="L8" s="174"/>
      <c r="M8" s="172"/>
      <c r="N8" s="173"/>
      <c r="O8" s="173"/>
      <c r="P8" s="173"/>
      <c r="Q8" s="174"/>
      <c r="R8" s="172"/>
      <c r="S8" s="173"/>
      <c r="T8" s="173"/>
      <c r="U8" s="173"/>
      <c r="V8" s="174"/>
      <c r="W8" s="178" t="s">
        <v>32</v>
      </c>
      <c r="X8" s="179"/>
      <c r="Y8" s="179"/>
      <c r="Z8" s="180"/>
      <c r="AA8" s="157" t="s">
        <v>12</v>
      </c>
      <c r="AB8" s="158"/>
      <c r="AC8" s="158"/>
      <c r="AD8" s="159"/>
      <c r="AE8" s="157" t="s">
        <v>13</v>
      </c>
      <c r="AF8" s="158"/>
      <c r="AG8" s="158"/>
      <c r="AH8" s="158"/>
      <c r="AI8" s="159"/>
      <c r="AJ8" s="160" t="s">
        <v>34</v>
      </c>
    </row>
    <row r="9" spans="1:36" ht="79.5" customHeight="1">
      <c r="A9" s="26"/>
      <c r="B9" s="25" t="s">
        <v>106</v>
      </c>
      <c r="C9" s="4" t="s">
        <v>22</v>
      </c>
      <c r="D9" s="4" t="s">
        <v>23</v>
      </c>
      <c r="E9" s="4" t="s">
        <v>24</v>
      </c>
      <c r="F9" s="4" t="s">
        <v>25</v>
      </c>
      <c r="G9" s="4" t="s">
        <v>26</v>
      </c>
      <c r="H9" s="4" t="s">
        <v>22</v>
      </c>
      <c r="I9" s="4" t="s">
        <v>23</v>
      </c>
      <c r="J9" s="4" t="s">
        <v>24</v>
      </c>
      <c r="K9" s="4" t="s">
        <v>25</v>
      </c>
      <c r="L9" s="4" t="s">
        <v>26</v>
      </c>
      <c r="M9" s="4" t="s">
        <v>22</v>
      </c>
      <c r="N9" s="4" t="s">
        <v>23</v>
      </c>
      <c r="O9" s="4" t="s">
        <v>24</v>
      </c>
      <c r="P9" s="4" t="s">
        <v>25</v>
      </c>
      <c r="Q9" s="4" t="s">
        <v>26</v>
      </c>
      <c r="R9" s="4" t="s">
        <v>22</v>
      </c>
      <c r="S9" s="4" t="s">
        <v>23</v>
      </c>
      <c r="T9" s="4" t="s">
        <v>24</v>
      </c>
      <c r="U9" s="4" t="s">
        <v>25</v>
      </c>
      <c r="V9" s="4" t="s">
        <v>26</v>
      </c>
      <c r="W9" s="15" t="s">
        <v>14</v>
      </c>
      <c r="X9" s="19" t="s">
        <v>35</v>
      </c>
      <c r="Y9" s="4" t="s">
        <v>33</v>
      </c>
      <c r="Z9" s="4" t="s">
        <v>36</v>
      </c>
      <c r="AA9" s="16" t="s">
        <v>14</v>
      </c>
      <c r="AB9" s="17" t="s">
        <v>15</v>
      </c>
      <c r="AC9" s="17" t="s">
        <v>16</v>
      </c>
      <c r="AD9" s="17" t="s">
        <v>17</v>
      </c>
      <c r="AE9" s="16" t="s">
        <v>18</v>
      </c>
      <c r="AF9" s="17" t="s">
        <v>15</v>
      </c>
      <c r="AG9" s="18" t="s">
        <v>19</v>
      </c>
      <c r="AH9" s="18" t="s">
        <v>20</v>
      </c>
      <c r="AI9" s="17" t="s">
        <v>21</v>
      </c>
      <c r="AJ9" s="161"/>
    </row>
    <row r="10" spans="1:36" s="8" customFormat="1" ht="15.75">
      <c r="A10" s="33">
        <v>1</v>
      </c>
      <c r="B10" s="24" t="s">
        <v>122</v>
      </c>
      <c r="C10" s="38">
        <f>C11+C35+C36+C38</f>
        <v>56.22579520000001</v>
      </c>
      <c r="D10" s="38"/>
      <c r="E10" s="38">
        <f>E11+E35+E36</f>
        <v>56.22579520000001</v>
      </c>
      <c r="F10" s="38"/>
      <c r="G10" s="38"/>
      <c r="H10" s="38">
        <f>I10+J10+K10+L10</f>
        <v>55.55842813059999</v>
      </c>
      <c r="I10" s="43"/>
      <c r="J10" s="38">
        <f>J11+J35+J36</f>
        <v>55.55842813059999</v>
      </c>
      <c r="K10" s="43"/>
      <c r="L10" s="43"/>
      <c r="M10" s="38">
        <f>N10+O10+P10+Q10</f>
        <v>-0.6673670693999982</v>
      </c>
      <c r="N10" s="43"/>
      <c r="O10" s="38">
        <f>O11+O35+O36</f>
        <v>-0.6673670693999982</v>
      </c>
      <c r="P10" s="43"/>
      <c r="Q10" s="43"/>
      <c r="R10" s="38">
        <f>S10+T10+U10+V10</f>
        <v>55.55842813059999</v>
      </c>
      <c r="S10" s="43"/>
      <c r="T10" s="38">
        <f>T11+T35+T36</f>
        <v>55.55842813059999</v>
      </c>
      <c r="U10" s="43"/>
      <c r="V10" s="43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2"/>
    </row>
    <row r="11" spans="1:36" s="8" customFormat="1" ht="25.5">
      <c r="A11" s="34" t="s">
        <v>92</v>
      </c>
      <c r="B11" s="24" t="s">
        <v>119</v>
      </c>
      <c r="C11" s="38">
        <f>D11+E11+F11+G11</f>
        <v>48.68559520000001</v>
      </c>
      <c r="D11" s="38"/>
      <c r="E11" s="38">
        <f>E12+E17+E26</f>
        <v>48.68559520000001</v>
      </c>
      <c r="F11" s="38"/>
      <c r="G11" s="38"/>
      <c r="H11" s="38">
        <f>I11+J11+K11+L11</f>
        <v>41.9904396766</v>
      </c>
      <c r="I11" s="43"/>
      <c r="J11" s="38">
        <f>J12+J17+J26</f>
        <v>41.9904396766</v>
      </c>
      <c r="K11" s="43"/>
      <c r="L11" s="43"/>
      <c r="M11" s="38">
        <f>N11+O11+P11+Q11</f>
        <v>-6.695155523399995</v>
      </c>
      <c r="N11" s="43"/>
      <c r="O11" s="38">
        <f>O12+O17+O26</f>
        <v>-6.695155523399995</v>
      </c>
      <c r="P11" s="43"/>
      <c r="Q11" s="43"/>
      <c r="R11" s="38">
        <f>S11+T11+U11+V11</f>
        <v>41.9904396766</v>
      </c>
      <c r="S11" s="43"/>
      <c r="T11" s="38">
        <f>T12+T17+T26</f>
        <v>41.9904396766</v>
      </c>
      <c r="U11" s="43"/>
      <c r="V11" s="43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2"/>
    </row>
    <row r="12" spans="1:36" s="8" customFormat="1" ht="15.75">
      <c r="A12" s="34"/>
      <c r="B12" s="28" t="s">
        <v>64</v>
      </c>
      <c r="C12" s="38">
        <f>D12+E12+F12+G12</f>
        <v>0.82718</v>
      </c>
      <c r="D12" s="38"/>
      <c r="E12" s="38">
        <f>E13+E14</f>
        <v>0.82718</v>
      </c>
      <c r="F12" s="38"/>
      <c r="G12" s="38"/>
      <c r="H12" s="38">
        <f>SUM(H13:H16)</f>
        <v>0.6919154907999999</v>
      </c>
      <c r="I12" s="38"/>
      <c r="J12" s="38">
        <f>SUM(J13:J16)</f>
        <v>0.6919154907999999</v>
      </c>
      <c r="K12" s="38"/>
      <c r="L12" s="38"/>
      <c r="M12" s="38">
        <f>SUM(M13:M16)</f>
        <v>-0.1352645092</v>
      </c>
      <c r="N12" s="38"/>
      <c r="O12" s="38">
        <f>SUM(O13:O16)</f>
        <v>-0.1352645092</v>
      </c>
      <c r="P12" s="38"/>
      <c r="Q12" s="38"/>
      <c r="R12" s="38">
        <f>SUM(R13:R16)</f>
        <v>0.6919154907999999</v>
      </c>
      <c r="S12" s="38"/>
      <c r="T12" s="38">
        <f>SUM(T13:T16)</f>
        <v>0.6919154907999999</v>
      </c>
      <c r="U12" s="38"/>
      <c r="V12" s="38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2"/>
    </row>
    <row r="13" spans="1:36" ht="51">
      <c r="A13" s="21" t="s">
        <v>38</v>
      </c>
      <c r="B13" s="20" t="s">
        <v>88</v>
      </c>
      <c r="C13" s="39">
        <f>D13+E13+F13+G13</f>
        <v>0.47908</v>
      </c>
      <c r="D13" s="39"/>
      <c r="E13" s="39">
        <f>'Раздел 1'!D25</f>
        <v>0.47908</v>
      </c>
      <c r="F13" s="39"/>
      <c r="G13" s="39"/>
      <c r="H13" s="39">
        <f>I13+J13+K13+L13</f>
        <v>0.4355064704</v>
      </c>
      <c r="I13" s="39"/>
      <c r="J13" s="39">
        <f>'Раздел 1'!E25</f>
        <v>0.4355064704</v>
      </c>
      <c r="K13" s="39"/>
      <c r="L13" s="39"/>
      <c r="M13" s="39">
        <f>N13+O13+P13+Q13</f>
        <v>-0.043573529599999994</v>
      </c>
      <c r="N13" s="39"/>
      <c r="O13" s="39">
        <f>J13-E13</f>
        <v>-0.043573529599999994</v>
      </c>
      <c r="P13" s="39"/>
      <c r="Q13" s="39"/>
      <c r="R13" s="39">
        <f>S13+T13+U13+V13</f>
        <v>0.4355064704</v>
      </c>
      <c r="S13" s="39"/>
      <c r="T13" s="39">
        <f>J13</f>
        <v>0.4355064704</v>
      </c>
      <c r="U13" s="39"/>
      <c r="V13" s="39"/>
      <c r="W13" s="13"/>
      <c r="X13" s="13"/>
      <c r="Y13" s="13"/>
      <c r="Z13" s="13"/>
      <c r="AA13" s="13">
        <v>2014</v>
      </c>
      <c r="AB13" s="13">
        <v>10</v>
      </c>
      <c r="AC13" s="13"/>
      <c r="AD13" s="13"/>
      <c r="AE13" s="13"/>
      <c r="AF13" s="13"/>
      <c r="AG13" s="13"/>
      <c r="AH13" s="13"/>
      <c r="AI13" s="13"/>
      <c r="AJ13" s="14"/>
    </row>
    <row r="14" spans="1:36" ht="63.75">
      <c r="A14" s="21" t="s">
        <v>39</v>
      </c>
      <c r="B14" s="20" t="s">
        <v>89</v>
      </c>
      <c r="C14" s="39">
        <f>D14+E14+F14+G14</f>
        <v>0.34809999999999997</v>
      </c>
      <c r="D14" s="39"/>
      <c r="E14" s="39">
        <f>'Раздел 1'!D26</f>
        <v>0.34809999999999997</v>
      </c>
      <c r="F14" s="39"/>
      <c r="G14" s="39"/>
      <c r="H14" s="39">
        <f>I14+J14+K14+L14</f>
        <v>0.22001310039999997</v>
      </c>
      <c r="I14" s="39"/>
      <c r="J14" s="39">
        <f>'Раздел 1'!E26</f>
        <v>0.22001310039999997</v>
      </c>
      <c r="K14" s="39"/>
      <c r="L14" s="39"/>
      <c r="M14" s="39">
        <f>N14+O14+P14+Q14</f>
        <v>-0.1280868996</v>
      </c>
      <c r="N14" s="39"/>
      <c r="O14" s="39">
        <f>J14-E14</f>
        <v>-0.1280868996</v>
      </c>
      <c r="P14" s="39"/>
      <c r="Q14" s="39"/>
      <c r="R14" s="39">
        <f>S14+T14+U14+V14</f>
        <v>0.22001310039999997</v>
      </c>
      <c r="S14" s="39"/>
      <c r="T14" s="39">
        <f>J14</f>
        <v>0.22001310039999997</v>
      </c>
      <c r="U14" s="39"/>
      <c r="V14" s="39"/>
      <c r="W14" s="13"/>
      <c r="X14" s="13"/>
      <c r="Y14" s="13"/>
      <c r="Z14" s="13"/>
      <c r="AA14" s="13">
        <v>2014</v>
      </c>
      <c r="AB14" s="13">
        <v>15</v>
      </c>
      <c r="AC14" s="13"/>
      <c r="AD14" s="13"/>
      <c r="AE14" s="13"/>
      <c r="AF14" s="13"/>
      <c r="AG14" s="13"/>
      <c r="AH14" s="13"/>
      <c r="AI14" s="13"/>
      <c r="AJ14" s="14"/>
    </row>
    <row r="15" spans="1:36" ht="15.75">
      <c r="A15" s="21" t="s">
        <v>40</v>
      </c>
      <c r="B15" s="20" t="s">
        <v>160</v>
      </c>
      <c r="C15" s="39"/>
      <c r="D15" s="39"/>
      <c r="E15" s="39"/>
      <c r="F15" s="39"/>
      <c r="G15" s="39"/>
      <c r="H15" s="39">
        <f>I15+J15+K15+L15</f>
        <v>0.01819796</v>
      </c>
      <c r="I15" s="39"/>
      <c r="J15" s="39">
        <f>'Раздел 1'!E27</f>
        <v>0.01819796</v>
      </c>
      <c r="K15" s="39"/>
      <c r="L15" s="39"/>
      <c r="M15" s="39">
        <f>N15+O15+P15+Q15</f>
        <v>0.01819796</v>
      </c>
      <c r="N15" s="39"/>
      <c r="O15" s="39">
        <f>J15-E15</f>
        <v>0.01819796</v>
      </c>
      <c r="P15" s="39"/>
      <c r="Q15" s="39"/>
      <c r="R15" s="39">
        <f>S15+T15+U15+V15</f>
        <v>0.01819796</v>
      </c>
      <c r="S15" s="39"/>
      <c r="T15" s="39">
        <f>J15</f>
        <v>0.01819796</v>
      </c>
      <c r="U15" s="39"/>
      <c r="V15" s="39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4"/>
    </row>
    <row r="16" spans="1:36" ht="15.75">
      <c r="A16" s="21" t="s">
        <v>41</v>
      </c>
      <c r="B16" s="20" t="s">
        <v>161</v>
      </c>
      <c r="C16" s="39"/>
      <c r="D16" s="39"/>
      <c r="E16" s="39"/>
      <c r="F16" s="39"/>
      <c r="G16" s="39"/>
      <c r="H16" s="39">
        <f>I16+J16+K16+L16</f>
        <v>0.01819796</v>
      </c>
      <c r="I16" s="39"/>
      <c r="J16" s="39">
        <f>'Раздел 1'!E28</f>
        <v>0.01819796</v>
      </c>
      <c r="K16" s="39"/>
      <c r="L16" s="39"/>
      <c r="M16" s="39">
        <f>N16+O16+P16+Q16</f>
        <v>0.01819796</v>
      </c>
      <c r="N16" s="39"/>
      <c r="O16" s="39">
        <f>J16-E16</f>
        <v>0.01819796</v>
      </c>
      <c r="P16" s="39"/>
      <c r="Q16" s="39"/>
      <c r="R16" s="39">
        <f>S16+T16+U16+V16</f>
        <v>0.01819796</v>
      </c>
      <c r="S16" s="39"/>
      <c r="T16" s="39">
        <f>J16</f>
        <v>0.01819796</v>
      </c>
      <c r="U16" s="39"/>
      <c r="V16" s="39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4"/>
    </row>
    <row r="17" spans="1:36" s="8" customFormat="1" ht="15.75">
      <c r="A17" s="30"/>
      <c r="B17" s="28" t="s">
        <v>67</v>
      </c>
      <c r="C17" s="38">
        <f aca="true" t="shared" si="0" ref="C17:C23">D17+E17+F17+G17</f>
        <v>4.4240312</v>
      </c>
      <c r="D17" s="38"/>
      <c r="E17" s="38">
        <f>SUM(E18:E25)</f>
        <v>4.4240312</v>
      </c>
      <c r="F17" s="38"/>
      <c r="G17" s="38"/>
      <c r="H17" s="38">
        <f>SUM(H18:H25)</f>
        <v>3.4507316429999992</v>
      </c>
      <c r="I17" s="38"/>
      <c r="J17" s="38">
        <f>SUM(J18:J25)</f>
        <v>3.4507316429999992</v>
      </c>
      <c r="K17" s="38"/>
      <c r="L17" s="38"/>
      <c r="M17" s="38">
        <f>SUM(M18:M25)</f>
        <v>-0.9732995569999993</v>
      </c>
      <c r="N17" s="38"/>
      <c r="O17" s="38">
        <f>SUM(O18:O25)</f>
        <v>-0.9732995569999993</v>
      </c>
      <c r="P17" s="38"/>
      <c r="Q17" s="38"/>
      <c r="R17" s="38">
        <f>SUM(R18:R25)</f>
        <v>3.4507316429999992</v>
      </c>
      <c r="S17" s="38"/>
      <c r="T17" s="38">
        <f>SUM(T18:T25)</f>
        <v>3.4507316429999992</v>
      </c>
      <c r="U17" s="38"/>
      <c r="V17" s="38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2"/>
    </row>
    <row r="18" spans="1:36" ht="38.25">
      <c r="A18" s="21" t="s">
        <v>42</v>
      </c>
      <c r="B18" s="23" t="s">
        <v>214</v>
      </c>
      <c r="C18" s="39">
        <f t="shared" si="0"/>
        <v>0.11338619999999999</v>
      </c>
      <c r="D18" s="39"/>
      <c r="E18" s="39">
        <f>'Раздел 1'!D30</f>
        <v>0.11338619999999999</v>
      </c>
      <c r="F18" s="39"/>
      <c r="G18" s="39"/>
      <c r="H18" s="39">
        <f aca="true" t="shared" si="1" ref="H18:H25">I18+J18+K18+L18</f>
        <v>0.11338501999999998</v>
      </c>
      <c r="I18" s="39"/>
      <c r="J18" s="39">
        <f>'Раздел 1'!E30</f>
        <v>0.11338501999999998</v>
      </c>
      <c r="K18" s="39"/>
      <c r="L18" s="39"/>
      <c r="M18" s="39">
        <f>N18+O18+P18+Q18</f>
        <v>-1.1800000000172783E-06</v>
      </c>
      <c r="N18" s="39"/>
      <c r="O18" s="39">
        <f>J18-E18</f>
        <v>-1.1800000000172783E-06</v>
      </c>
      <c r="P18" s="39"/>
      <c r="Q18" s="39"/>
      <c r="R18" s="39">
        <f>S18+T18+U18+V18</f>
        <v>0.11338501999999998</v>
      </c>
      <c r="S18" s="39"/>
      <c r="T18" s="39">
        <f>J18</f>
        <v>0.11338501999999998</v>
      </c>
      <c r="U18" s="39"/>
      <c r="V18" s="39"/>
      <c r="W18" s="13"/>
      <c r="X18" s="13"/>
      <c r="Y18" s="13"/>
      <c r="Z18" s="13"/>
      <c r="AA18" s="13"/>
      <c r="AB18" s="13"/>
      <c r="AC18" s="13"/>
      <c r="AD18" s="13"/>
      <c r="AE18" s="13">
        <v>2014</v>
      </c>
      <c r="AF18" s="13">
        <v>15</v>
      </c>
      <c r="AG18" s="13"/>
      <c r="AH18" s="13" t="s">
        <v>213</v>
      </c>
      <c r="AI18" s="13">
        <v>0.092</v>
      </c>
      <c r="AJ18" s="14"/>
    </row>
    <row r="19" spans="1:36" ht="25.5">
      <c r="A19" s="21" t="s">
        <v>43</v>
      </c>
      <c r="B19" s="23" t="s">
        <v>148</v>
      </c>
      <c r="C19" s="39">
        <f t="shared" si="0"/>
        <v>0.7909999999999995</v>
      </c>
      <c r="D19" s="39"/>
      <c r="E19" s="39">
        <f>'Раздел 1'!D31</f>
        <v>0.7909999999999995</v>
      </c>
      <c r="F19" s="39"/>
      <c r="G19" s="39"/>
      <c r="H19" s="39">
        <f t="shared" si="1"/>
        <v>0.5021887187999999</v>
      </c>
      <c r="I19" s="39"/>
      <c r="J19" s="39">
        <f>'Раздел 1'!E31</f>
        <v>0.5021887187999999</v>
      </c>
      <c r="K19" s="39"/>
      <c r="L19" s="39"/>
      <c r="M19" s="39">
        <f>N19+O19+P19+Q19</f>
        <v>-0.28881128119999955</v>
      </c>
      <c r="N19" s="39"/>
      <c r="O19" s="39">
        <f>J19-E19</f>
        <v>-0.28881128119999955</v>
      </c>
      <c r="P19" s="39"/>
      <c r="Q19" s="39"/>
      <c r="R19" s="39">
        <f>S19+T19+U19+V19</f>
        <v>0.5021887187999999</v>
      </c>
      <c r="S19" s="39"/>
      <c r="T19" s="39">
        <f>J19</f>
        <v>0.5021887187999999</v>
      </c>
      <c r="U19" s="39"/>
      <c r="V19" s="39"/>
      <c r="W19" s="13"/>
      <c r="X19" s="13"/>
      <c r="Y19" s="13"/>
      <c r="Z19" s="13"/>
      <c r="AA19" s="13"/>
      <c r="AB19" s="13"/>
      <c r="AC19" s="13"/>
      <c r="AD19" s="13"/>
      <c r="AE19" s="13">
        <v>2014</v>
      </c>
      <c r="AF19" s="13">
        <v>15</v>
      </c>
      <c r="AG19" s="13" t="s">
        <v>212</v>
      </c>
      <c r="AH19" s="13" t="s">
        <v>213</v>
      </c>
      <c r="AI19" s="13">
        <v>0.336</v>
      </c>
      <c r="AJ19" s="14"/>
    </row>
    <row r="20" spans="1:36" ht="38.25">
      <c r="A20" s="21" t="s">
        <v>44</v>
      </c>
      <c r="B20" s="23" t="s">
        <v>146</v>
      </c>
      <c r="C20" s="39">
        <f t="shared" si="0"/>
        <v>0.75166</v>
      </c>
      <c r="D20" s="39"/>
      <c r="E20" s="39">
        <f>'Раздел 1'!D32</f>
        <v>0.75166</v>
      </c>
      <c r="F20" s="39"/>
      <c r="G20" s="39"/>
      <c r="H20" s="39">
        <f t="shared" si="1"/>
        <v>0.7521887226000001</v>
      </c>
      <c r="I20" s="39"/>
      <c r="J20" s="39">
        <f>'Раздел 1'!E32</f>
        <v>0.7521887226000001</v>
      </c>
      <c r="K20" s="39"/>
      <c r="L20" s="39"/>
      <c r="M20" s="39">
        <f aca="true" t="shared" si="2" ref="M20:M25">N20+O20+P20+Q20</f>
        <v>0.0005287226000001422</v>
      </c>
      <c r="N20" s="39"/>
      <c r="O20" s="39">
        <f aca="true" t="shared" si="3" ref="O20:O25">J20-E20</f>
        <v>0.0005287226000001422</v>
      </c>
      <c r="P20" s="39"/>
      <c r="Q20" s="39"/>
      <c r="R20" s="39">
        <f aca="true" t="shared" si="4" ref="R20:R25">S20+T20+U20+V20</f>
        <v>0.7521887226000001</v>
      </c>
      <c r="S20" s="39"/>
      <c r="T20" s="39">
        <f aca="true" t="shared" si="5" ref="T20:T25">J20</f>
        <v>0.7521887226000001</v>
      </c>
      <c r="U20" s="39"/>
      <c r="V20" s="39"/>
      <c r="W20" s="13"/>
      <c r="X20" s="13"/>
      <c r="Y20" s="13"/>
      <c r="Z20" s="13"/>
      <c r="AA20" s="13"/>
      <c r="AB20" s="13"/>
      <c r="AC20" s="13"/>
      <c r="AD20" s="13"/>
      <c r="AE20" s="13">
        <v>2014</v>
      </c>
      <c r="AF20" s="13">
        <v>15</v>
      </c>
      <c r="AG20" s="13" t="s">
        <v>212</v>
      </c>
      <c r="AH20" s="13" t="s">
        <v>213</v>
      </c>
      <c r="AI20" s="13">
        <v>0.313</v>
      </c>
      <c r="AJ20" s="14"/>
    </row>
    <row r="21" spans="1:36" ht="25.5">
      <c r="A21" s="21" t="s">
        <v>45</v>
      </c>
      <c r="B21" s="23" t="s">
        <v>149</v>
      </c>
      <c r="C21" s="39">
        <f t="shared" si="0"/>
        <v>0.39529999999999993</v>
      </c>
      <c r="D21" s="38"/>
      <c r="E21" s="39">
        <f>'Раздел 1'!D33</f>
        <v>0.39529999999999993</v>
      </c>
      <c r="F21" s="38"/>
      <c r="G21" s="38"/>
      <c r="H21" s="39">
        <f t="shared" si="1"/>
        <v>0.39572598000000003</v>
      </c>
      <c r="I21" s="39"/>
      <c r="J21" s="39">
        <f>'Раздел 1'!E33</f>
        <v>0.39572598000000003</v>
      </c>
      <c r="K21" s="39"/>
      <c r="L21" s="39"/>
      <c r="M21" s="39">
        <f t="shared" si="2"/>
        <v>0.0004259800000001035</v>
      </c>
      <c r="N21" s="39"/>
      <c r="O21" s="39">
        <f t="shared" si="3"/>
        <v>0.0004259800000001035</v>
      </c>
      <c r="P21" s="39"/>
      <c r="Q21" s="39"/>
      <c r="R21" s="39">
        <f t="shared" si="4"/>
        <v>0.39572598000000003</v>
      </c>
      <c r="S21" s="39"/>
      <c r="T21" s="39">
        <f t="shared" si="5"/>
        <v>0.39572598000000003</v>
      </c>
      <c r="U21" s="38"/>
      <c r="V21" s="38"/>
      <c r="W21" s="13"/>
      <c r="X21" s="13"/>
      <c r="Y21" s="13"/>
      <c r="Z21" s="13"/>
      <c r="AA21" s="13"/>
      <c r="AB21" s="13"/>
      <c r="AC21" s="13"/>
      <c r="AD21" s="13"/>
      <c r="AE21" s="13">
        <v>2014</v>
      </c>
      <c r="AF21" s="13">
        <v>15</v>
      </c>
      <c r="AG21" s="13" t="s">
        <v>212</v>
      </c>
      <c r="AH21" s="13" t="s">
        <v>213</v>
      </c>
      <c r="AI21" s="13">
        <v>0.237</v>
      </c>
      <c r="AJ21" s="14"/>
    </row>
    <row r="22" spans="1:36" ht="25.5">
      <c r="A22" s="21" t="s">
        <v>46</v>
      </c>
      <c r="B22" s="23" t="s">
        <v>150</v>
      </c>
      <c r="C22" s="39">
        <f t="shared" si="0"/>
        <v>0.90388</v>
      </c>
      <c r="D22" s="39"/>
      <c r="E22" s="39">
        <f>'Раздел 1'!D34</f>
        <v>0.90388</v>
      </c>
      <c r="F22" s="39"/>
      <c r="G22" s="39"/>
      <c r="H22" s="39">
        <f t="shared" si="1"/>
        <v>0.50433554</v>
      </c>
      <c r="I22" s="39"/>
      <c r="J22" s="39">
        <f>'Раздел 1'!E34</f>
        <v>0.50433554</v>
      </c>
      <c r="K22" s="39"/>
      <c r="L22" s="39"/>
      <c r="M22" s="39">
        <f t="shared" si="2"/>
        <v>-0.39954446</v>
      </c>
      <c r="N22" s="39"/>
      <c r="O22" s="39">
        <f t="shared" si="3"/>
        <v>-0.39954446</v>
      </c>
      <c r="P22" s="39"/>
      <c r="Q22" s="39"/>
      <c r="R22" s="39">
        <f t="shared" si="4"/>
        <v>0.50433554</v>
      </c>
      <c r="S22" s="39"/>
      <c r="T22" s="39">
        <f t="shared" si="5"/>
        <v>0.50433554</v>
      </c>
      <c r="U22" s="39"/>
      <c r="V22" s="39"/>
      <c r="W22" s="13"/>
      <c r="X22" s="13"/>
      <c r="Y22" s="13"/>
      <c r="Z22" s="13"/>
      <c r="AA22" s="13"/>
      <c r="AB22" s="13"/>
      <c r="AC22" s="13"/>
      <c r="AD22" s="13"/>
      <c r="AE22" s="13">
        <v>2014</v>
      </c>
      <c r="AF22" s="13">
        <v>15</v>
      </c>
      <c r="AG22" s="13" t="s">
        <v>212</v>
      </c>
      <c r="AH22" s="13" t="s">
        <v>211</v>
      </c>
      <c r="AI22" s="13">
        <v>0.13</v>
      </c>
      <c r="AJ22" s="14"/>
    </row>
    <row r="23" spans="1:36" ht="25.5">
      <c r="A23" s="21" t="s">
        <v>47</v>
      </c>
      <c r="B23" s="23" t="s">
        <v>147</v>
      </c>
      <c r="C23" s="39">
        <f t="shared" si="0"/>
        <v>1.016865</v>
      </c>
      <c r="D23" s="39"/>
      <c r="E23" s="39">
        <f>'Раздел 1'!D35</f>
        <v>1.016865</v>
      </c>
      <c r="F23" s="39"/>
      <c r="G23" s="39"/>
      <c r="H23" s="39">
        <f t="shared" si="1"/>
        <v>0.6421887213999999</v>
      </c>
      <c r="I23" s="39"/>
      <c r="J23" s="39">
        <f>'Раздел 1'!E35</f>
        <v>0.6421887213999999</v>
      </c>
      <c r="K23" s="39"/>
      <c r="L23" s="39"/>
      <c r="M23" s="39">
        <f t="shared" si="2"/>
        <v>-0.37467627859999997</v>
      </c>
      <c r="N23" s="39"/>
      <c r="O23" s="39">
        <f t="shared" si="3"/>
        <v>-0.37467627859999997</v>
      </c>
      <c r="P23" s="39"/>
      <c r="Q23" s="39"/>
      <c r="R23" s="39">
        <f t="shared" si="4"/>
        <v>0.6421887213999999</v>
      </c>
      <c r="S23" s="39"/>
      <c r="T23" s="39">
        <f t="shared" si="5"/>
        <v>0.6421887213999999</v>
      </c>
      <c r="U23" s="39"/>
      <c r="V23" s="39"/>
      <c r="W23" s="13"/>
      <c r="X23" s="13"/>
      <c r="Y23" s="13"/>
      <c r="Z23" s="13"/>
      <c r="AA23" s="13"/>
      <c r="AB23" s="13"/>
      <c r="AC23" s="13"/>
      <c r="AD23" s="13"/>
      <c r="AE23" s="13">
        <v>2014</v>
      </c>
      <c r="AF23" s="13">
        <v>15</v>
      </c>
      <c r="AG23" s="13" t="s">
        <v>212</v>
      </c>
      <c r="AH23" s="13" t="s">
        <v>211</v>
      </c>
      <c r="AI23" s="13">
        <v>0.32</v>
      </c>
      <c r="AJ23" s="14"/>
    </row>
    <row r="24" spans="1:36" ht="27" customHeight="1">
      <c r="A24" s="21" t="s">
        <v>48</v>
      </c>
      <c r="B24" s="23" t="s">
        <v>172</v>
      </c>
      <c r="C24" s="39"/>
      <c r="D24" s="39"/>
      <c r="E24" s="39"/>
      <c r="F24" s="39"/>
      <c r="G24" s="39"/>
      <c r="H24" s="39">
        <f t="shared" si="1"/>
        <v>0.30353021999999996</v>
      </c>
      <c r="I24" s="39"/>
      <c r="J24" s="39">
        <f>'Раздел 1'!E36</f>
        <v>0.30353021999999996</v>
      </c>
      <c r="K24" s="39"/>
      <c r="L24" s="39"/>
      <c r="M24" s="39">
        <f>N24+O24+P24+Q24</f>
        <v>0.30353021999999996</v>
      </c>
      <c r="N24" s="39"/>
      <c r="O24" s="39">
        <f>J24-E24</f>
        <v>0.30353021999999996</v>
      </c>
      <c r="P24" s="39"/>
      <c r="Q24" s="39"/>
      <c r="R24" s="39">
        <f t="shared" si="4"/>
        <v>0.30353021999999996</v>
      </c>
      <c r="S24" s="39"/>
      <c r="T24" s="39">
        <f>J24</f>
        <v>0.30353021999999996</v>
      </c>
      <c r="U24" s="39"/>
      <c r="V24" s="39"/>
      <c r="W24" s="13"/>
      <c r="X24" s="13"/>
      <c r="Y24" s="13"/>
      <c r="Z24" s="13"/>
      <c r="AA24" s="13"/>
      <c r="AB24" s="13"/>
      <c r="AC24" s="13"/>
      <c r="AD24" s="13"/>
      <c r="AE24" s="13">
        <v>2014</v>
      </c>
      <c r="AF24" s="13">
        <v>15</v>
      </c>
      <c r="AG24" s="13" t="s">
        <v>212</v>
      </c>
      <c r="AH24" s="13" t="s">
        <v>213</v>
      </c>
      <c r="AI24" s="13">
        <v>0.105</v>
      </c>
      <c r="AJ24" s="14"/>
    </row>
    <row r="25" spans="1:36" ht="25.5">
      <c r="A25" s="21" t="s">
        <v>49</v>
      </c>
      <c r="B25" s="23" t="s">
        <v>162</v>
      </c>
      <c r="C25" s="39">
        <f>D25+E25+F25+G25</f>
        <v>0.45194</v>
      </c>
      <c r="D25" s="39"/>
      <c r="E25" s="39">
        <f>'Раздел 1'!D37</f>
        <v>0.45194</v>
      </c>
      <c r="F25" s="39"/>
      <c r="G25" s="39"/>
      <c r="H25" s="39">
        <f t="shared" si="1"/>
        <v>0.2371887202</v>
      </c>
      <c r="I25" s="39"/>
      <c r="J25" s="39">
        <f>'Раздел 1'!E37</f>
        <v>0.2371887202</v>
      </c>
      <c r="K25" s="39"/>
      <c r="L25" s="39"/>
      <c r="M25" s="39">
        <f t="shared" si="2"/>
        <v>-0.2147512798</v>
      </c>
      <c r="N25" s="39"/>
      <c r="O25" s="39">
        <f t="shared" si="3"/>
        <v>-0.2147512798</v>
      </c>
      <c r="P25" s="39"/>
      <c r="Q25" s="39"/>
      <c r="R25" s="39">
        <f t="shared" si="4"/>
        <v>0.2371887202</v>
      </c>
      <c r="S25" s="39"/>
      <c r="T25" s="39">
        <f t="shared" si="5"/>
        <v>0.2371887202</v>
      </c>
      <c r="U25" s="39"/>
      <c r="V25" s="39"/>
      <c r="W25" s="13"/>
      <c r="X25" s="13"/>
      <c r="Y25" s="13"/>
      <c r="Z25" s="13"/>
      <c r="AA25" s="13"/>
      <c r="AB25" s="13"/>
      <c r="AC25" s="13"/>
      <c r="AD25" s="13"/>
      <c r="AE25" s="13">
        <v>2014</v>
      </c>
      <c r="AF25" s="13">
        <v>15</v>
      </c>
      <c r="AG25" s="13" t="s">
        <v>212</v>
      </c>
      <c r="AH25" s="13" t="s">
        <v>213</v>
      </c>
      <c r="AI25" s="13">
        <v>0.138</v>
      </c>
      <c r="AJ25" s="14"/>
    </row>
    <row r="26" spans="1:36" ht="15.75">
      <c r="A26" s="21"/>
      <c r="B26" s="22" t="s">
        <v>68</v>
      </c>
      <c r="C26" s="38">
        <f>SUM(C27:C34)</f>
        <v>43.43438400000001</v>
      </c>
      <c r="D26" s="38"/>
      <c r="E26" s="38">
        <f>SUM(E27:E34)</f>
        <v>43.43438400000001</v>
      </c>
      <c r="F26" s="38"/>
      <c r="G26" s="38"/>
      <c r="H26" s="38">
        <f>SUM(H27:H34)</f>
        <v>37.8477925428</v>
      </c>
      <c r="I26" s="38"/>
      <c r="J26" s="38">
        <f aca="true" t="shared" si="6" ref="J26:T26">SUM(J27:J34)</f>
        <v>37.8477925428</v>
      </c>
      <c r="K26" s="38"/>
      <c r="L26" s="38"/>
      <c r="M26" s="38">
        <f t="shared" si="6"/>
        <v>-5.586591457199996</v>
      </c>
      <c r="N26" s="38"/>
      <c r="O26" s="38">
        <f t="shared" si="6"/>
        <v>-5.586591457199996</v>
      </c>
      <c r="P26" s="38"/>
      <c r="Q26" s="38"/>
      <c r="R26" s="38">
        <f t="shared" si="6"/>
        <v>37.8477925428</v>
      </c>
      <c r="S26" s="38"/>
      <c r="T26" s="38">
        <f t="shared" si="6"/>
        <v>37.8477925428</v>
      </c>
      <c r="U26" s="38"/>
      <c r="V26" s="38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</row>
    <row r="27" spans="1:36" ht="25.5">
      <c r="A27" s="21" t="s">
        <v>50</v>
      </c>
      <c r="B27" s="20" t="s">
        <v>90</v>
      </c>
      <c r="C27" s="39">
        <f aca="true" t="shared" si="7" ref="C27:C32">D27+E27+F27+G27</f>
        <v>29.5</v>
      </c>
      <c r="D27" s="39"/>
      <c r="E27" s="39">
        <f>'Раздел 1'!D39</f>
        <v>29.5</v>
      </c>
      <c r="F27" s="39"/>
      <c r="G27" s="39"/>
      <c r="H27" s="39">
        <f aca="true" t="shared" si="8" ref="H27:H32">I27+J27+K27+L27</f>
        <v>23.115277251800002</v>
      </c>
      <c r="I27" s="39"/>
      <c r="J27" s="39">
        <f>'Раздел 1'!E39</f>
        <v>23.115277251800002</v>
      </c>
      <c r="K27" s="39"/>
      <c r="L27" s="39"/>
      <c r="M27" s="39">
        <f aca="true" t="shared" si="9" ref="M27:M32">N27+O27+P27+Q27</f>
        <v>-6.384722748199998</v>
      </c>
      <c r="N27" s="39"/>
      <c r="O27" s="39">
        <f aca="true" t="shared" si="10" ref="O27:O32">J27-E27</f>
        <v>-6.384722748199998</v>
      </c>
      <c r="P27" s="39"/>
      <c r="Q27" s="39"/>
      <c r="R27" s="39">
        <f aca="true" t="shared" si="11" ref="R27:R32">S27+T27+U27+V27</f>
        <v>23.115277251800002</v>
      </c>
      <c r="S27" s="39"/>
      <c r="T27" s="39">
        <f aca="true" t="shared" si="12" ref="T27:T32">J27</f>
        <v>23.115277251800002</v>
      </c>
      <c r="U27" s="39"/>
      <c r="V27" s="39"/>
      <c r="W27" s="13"/>
      <c r="X27" s="13"/>
      <c r="Y27" s="13"/>
      <c r="Z27" s="13"/>
      <c r="AA27" s="13">
        <v>2014</v>
      </c>
      <c r="AB27" s="13">
        <v>15</v>
      </c>
      <c r="AC27" s="13"/>
      <c r="AD27" s="13"/>
      <c r="AE27" s="13"/>
      <c r="AF27" s="13"/>
      <c r="AG27" s="13"/>
      <c r="AH27" s="13"/>
      <c r="AI27" s="13"/>
      <c r="AJ27" s="14"/>
    </row>
    <row r="28" spans="1:36" ht="38.25">
      <c r="A28" s="21" t="s">
        <v>51</v>
      </c>
      <c r="B28" s="20" t="s">
        <v>139</v>
      </c>
      <c r="C28" s="39">
        <f t="shared" si="7"/>
        <v>2.7868767999999995</v>
      </c>
      <c r="D28" s="39"/>
      <c r="E28" s="39">
        <f>'Раздел 1'!D40</f>
        <v>2.7868767999999995</v>
      </c>
      <c r="F28" s="39"/>
      <c r="G28" s="39"/>
      <c r="H28" s="39">
        <f t="shared" si="8"/>
        <v>2.7868713365999995</v>
      </c>
      <c r="I28" s="39"/>
      <c r="J28" s="39">
        <f>'Раздел 1'!E40</f>
        <v>2.7868713365999995</v>
      </c>
      <c r="K28" s="39"/>
      <c r="L28" s="39"/>
      <c r="M28" s="39">
        <f t="shared" si="9"/>
        <v>-5.463399999960927E-06</v>
      </c>
      <c r="N28" s="39"/>
      <c r="O28" s="39">
        <f t="shared" si="10"/>
        <v>-5.463399999960927E-06</v>
      </c>
      <c r="P28" s="39"/>
      <c r="Q28" s="39"/>
      <c r="R28" s="39">
        <f t="shared" si="11"/>
        <v>2.7868713365999995</v>
      </c>
      <c r="S28" s="39"/>
      <c r="T28" s="39">
        <f t="shared" si="12"/>
        <v>2.7868713365999995</v>
      </c>
      <c r="U28" s="39"/>
      <c r="V28" s="39"/>
      <c r="W28" s="13"/>
      <c r="X28" s="13"/>
      <c r="Y28" s="13"/>
      <c r="Z28" s="13"/>
      <c r="AA28" s="13">
        <v>2014</v>
      </c>
      <c r="AB28" s="13">
        <v>15</v>
      </c>
      <c r="AC28" s="13"/>
      <c r="AD28" s="13"/>
      <c r="AE28" s="13"/>
      <c r="AF28" s="13"/>
      <c r="AG28" s="13"/>
      <c r="AH28" s="13"/>
      <c r="AI28" s="13"/>
      <c r="AJ28" s="14"/>
    </row>
    <row r="29" spans="1:36" ht="38.25">
      <c r="A29" s="21" t="s">
        <v>52</v>
      </c>
      <c r="B29" s="20" t="s">
        <v>136</v>
      </c>
      <c r="C29" s="39">
        <f t="shared" si="7"/>
        <v>2.7868767999999995</v>
      </c>
      <c r="D29" s="39"/>
      <c r="E29" s="39">
        <f>'Раздел 1'!D41</f>
        <v>2.7868767999999995</v>
      </c>
      <c r="F29" s="39"/>
      <c r="G29" s="39"/>
      <c r="H29" s="39">
        <f t="shared" si="8"/>
        <v>2.9864109886</v>
      </c>
      <c r="I29" s="39"/>
      <c r="J29" s="39">
        <f>'Раздел 1'!E41</f>
        <v>2.9864109886</v>
      </c>
      <c r="K29" s="39"/>
      <c r="L29" s="39"/>
      <c r="M29" s="39">
        <f t="shared" si="9"/>
        <v>0.19953418860000038</v>
      </c>
      <c r="N29" s="39"/>
      <c r="O29" s="39">
        <f t="shared" si="10"/>
        <v>0.19953418860000038</v>
      </c>
      <c r="P29" s="39"/>
      <c r="Q29" s="39"/>
      <c r="R29" s="39">
        <f t="shared" si="11"/>
        <v>2.9864109886</v>
      </c>
      <c r="S29" s="39"/>
      <c r="T29" s="39">
        <f t="shared" si="12"/>
        <v>2.9864109886</v>
      </c>
      <c r="U29" s="39"/>
      <c r="V29" s="39"/>
      <c r="W29" s="13"/>
      <c r="X29" s="13"/>
      <c r="Y29" s="13"/>
      <c r="Z29" s="13"/>
      <c r="AA29" s="13">
        <v>2014</v>
      </c>
      <c r="AB29" s="13">
        <v>15</v>
      </c>
      <c r="AC29" s="13"/>
      <c r="AD29" s="13"/>
      <c r="AE29" s="13"/>
      <c r="AF29" s="13"/>
      <c r="AG29" s="13"/>
      <c r="AH29" s="13"/>
      <c r="AI29" s="13"/>
      <c r="AJ29" s="14"/>
    </row>
    <row r="30" spans="1:36" ht="38.25">
      <c r="A30" s="21" t="s">
        <v>158</v>
      </c>
      <c r="B30" s="20" t="s">
        <v>137</v>
      </c>
      <c r="C30" s="39">
        <f t="shared" si="7"/>
        <v>2.7868767999999995</v>
      </c>
      <c r="D30" s="38"/>
      <c r="E30" s="39">
        <f>'Раздел 1'!D42</f>
        <v>2.7868767999999995</v>
      </c>
      <c r="F30" s="38"/>
      <c r="G30" s="38"/>
      <c r="H30" s="39">
        <f t="shared" si="8"/>
        <v>2.9864109886</v>
      </c>
      <c r="I30" s="39"/>
      <c r="J30" s="39">
        <f>'Раздел 1'!E42</f>
        <v>2.9864109886</v>
      </c>
      <c r="K30" s="39"/>
      <c r="L30" s="39"/>
      <c r="M30" s="39">
        <f t="shared" si="9"/>
        <v>0.19953418860000038</v>
      </c>
      <c r="N30" s="39"/>
      <c r="O30" s="39">
        <f t="shared" si="10"/>
        <v>0.19953418860000038</v>
      </c>
      <c r="P30" s="39"/>
      <c r="Q30" s="39"/>
      <c r="R30" s="39">
        <f t="shared" si="11"/>
        <v>2.9864109886</v>
      </c>
      <c r="S30" s="39"/>
      <c r="T30" s="39">
        <f t="shared" si="12"/>
        <v>2.9864109886</v>
      </c>
      <c r="U30" s="38"/>
      <c r="V30" s="38"/>
      <c r="W30" s="13"/>
      <c r="X30" s="13"/>
      <c r="Y30" s="13"/>
      <c r="Z30" s="13"/>
      <c r="AA30" s="13">
        <v>2014</v>
      </c>
      <c r="AB30" s="13">
        <v>15</v>
      </c>
      <c r="AC30" s="13"/>
      <c r="AD30" s="13"/>
      <c r="AE30" s="13"/>
      <c r="AF30" s="13"/>
      <c r="AG30" s="13"/>
      <c r="AH30" s="13"/>
      <c r="AI30" s="13"/>
      <c r="AJ30" s="14"/>
    </row>
    <row r="31" spans="1:36" ht="38.25">
      <c r="A31" s="21" t="s">
        <v>159</v>
      </c>
      <c r="B31" s="20" t="s">
        <v>138</v>
      </c>
      <c r="C31" s="39">
        <f t="shared" si="7"/>
        <v>2.7868767999999995</v>
      </c>
      <c r="D31" s="38"/>
      <c r="E31" s="39">
        <f>'Раздел 1'!D43</f>
        <v>2.7868767999999995</v>
      </c>
      <c r="F31" s="38"/>
      <c r="G31" s="38"/>
      <c r="H31" s="39">
        <f t="shared" si="8"/>
        <v>2.9864109886</v>
      </c>
      <c r="I31" s="39"/>
      <c r="J31" s="39">
        <f>'Раздел 1'!E43</f>
        <v>2.9864109886</v>
      </c>
      <c r="K31" s="39"/>
      <c r="L31" s="39"/>
      <c r="M31" s="39">
        <f t="shared" si="9"/>
        <v>0.19953418860000038</v>
      </c>
      <c r="N31" s="39"/>
      <c r="O31" s="39">
        <f t="shared" si="10"/>
        <v>0.19953418860000038</v>
      </c>
      <c r="P31" s="39"/>
      <c r="Q31" s="39"/>
      <c r="R31" s="39">
        <f t="shared" si="11"/>
        <v>2.9864109886</v>
      </c>
      <c r="S31" s="39"/>
      <c r="T31" s="39">
        <f t="shared" si="12"/>
        <v>2.9864109886</v>
      </c>
      <c r="U31" s="38"/>
      <c r="V31" s="38"/>
      <c r="W31" s="13"/>
      <c r="X31" s="13"/>
      <c r="Y31" s="13"/>
      <c r="Z31" s="13"/>
      <c r="AA31" s="13">
        <v>2014</v>
      </c>
      <c r="AB31" s="13">
        <v>15</v>
      </c>
      <c r="AC31" s="13"/>
      <c r="AD31" s="13"/>
      <c r="AE31" s="13"/>
      <c r="AF31" s="13"/>
      <c r="AG31" s="13"/>
      <c r="AH31" s="13"/>
      <c r="AI31" s="13"/>
      <c r="AJ31" s="14"/>
    </row>
    <row r="32" spans="1:36" ht="38.25">
      <c r="A32" s="21" t="s">
        <v>206</v>
      </c>
      <c r="B32" s="20" t="s">
        <v>155</v>
      </c>
      <c r="C32" s="39">
        <f t="shared" si="7"/>
        <v>2.7868767999999995</v>
      </c>
      <c r="D32" s="39"/>
      <c r="E32" s="39">
        <f>'Раздел 1'!D44</f>
        <v>2.7868767999999995</v>
      </c>
      <c r="F32" s="39"/>
      <c r="G32" s="39"/>
      <c r="H32" s="39">
        <f t="shared" si="8"/>
        <v>2.9864109886</v>
      </c>
      <c r="I32" s="39"/>
      <c r="J32" s="39">
        <f>'Раздел 1'!E44</f>
        <v>2.9864109886</v>
      </c>
      <c r="K32" s="39"/>
      <c r="L32" s="39"/>
      <c r="M32" s="39">
        <f t="shared" si="9"/>
        <v>0.19953418860000038</v>
      </c>
      <c r="N32" s="39"/>
      <c r="O32" s="39">
        <f t="shared" si="10"/>
        <v>0.19953418860000038</v>
      </c>
      <c r="P32" s="39"/>
      <c r="Q32" s="39"/>
      <c r="R32" s="39">
        <f t="shared" si="11"/>
        <v>2.9864109886</v>
      </c>
      <c r="S32" s="39"/>
      <c r="T32" s="39">
        <f t="shared" si="12"/>
        <v>2.9864109886</v>
      </c>
      <c r="U32" s="39"/>
      <c r="V32" s="39"/>
      <c r="W32" s="13"/>
      <c r="X32" s="13"/>
      <c r="Y32" s="13"/>
      <c r="Z32" s="13"/>
      <c r="AA32" s="13">
        <v>2014</v>
      </c>
      <c r="AB32" s="13">
        <v>15</v>
      </c>
      <c r="AC32" s="13"/>
      <c r="AD32" s="13"/>
      <c r="AE32" s="13"/>
      <c r="AF32" s="13"/>
      <c r="AG32" s="13"/>
      <c r="AH32" s="13"/>
      <c r="AI32" s="13"/>
      <c r="AJ32" s="14"/>
    </row>
    <row r="33" spans="1:36" ht="15.75" hidden="1">
      <c r="A33" s="21" t="s">
        <v>158</v>
      </c>
      <c r="B33" s="20" t="s">
        <v>156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4"/>
    </row>
    <row r="34" spans="1:36" ht="15.75" hidden="1">
      <c r="A34" s="21" t="s">
        <v>159</v>
      </c>
      <c r="B34" s="20" t="s">
        <v>157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4"/>
    </row>
    <row r="35" spans="1:36" ht="25.5">
      <c r="A35" s="33" t="s">
        <v>93</v>
      </c>
      <c r="B35" s="24" t="s">
        <v>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4"/>
    </row>
    <row r="36" spans="1:36" s="8" customFormat="1" ht="15.75">
      <c r="A36" s="34" t="s">
        <v>99</v>
      </c>
      <c r="B36" s="24" t="s">
        <v>120</v>
      </c>
      <c r="C36" s="38">
        <f>C37</f>
        <v>7.5402</v>
      </c>
      <c r="D36" s="38"/>
      <c r="E36" s="38">
        <f>E37</f>
        <v>7.5402</v>
      </c>
      <c r="F36" s="38"/>
      <c r="G36" s="38"/>
      <c r="H36" s="38">
        <f aca="true" t="shared" si="13" ref="H36:O36">H37</f>
        <v>13.567988453999996</v>
      </c>
      <c r="I36" s="38"/>
      <c r="J36" s="38">
        <f t="shared" si="13"/>
        <v>13.567988453999996</v>
      </c>
      <c r="K36" s="38"/>
      <c r="L36" s="38"/>
      <c r="M36" s="38">
        <f t="shared" si="13"/>
        <v>6.027788453999997</v>
      </c>
      <c r="N36" s="38"/>
      <c r="O36" s="38">
        <f t="shared" si="13"/>
        <v>6.027788453999997</v>
      </c>
      <c r="P36" s="38"/>
      <c r="Q36" s="38"/>
      <c r="R36" s="38">
        <f>R37</f>
        <v>13.567988453999996</v>
      </c>
      <c r="S36" s="38"/>
      <c r="T36" s="38">
        <f>T37</f>
        <v>13.567988453999996</v>
      </c>
      <c r="U36" s="38"/>
      <c r="V36" s="38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2"/>
    </row>
    <row r="37" spans="1:36" ht="15.75">
      <c r="A37" s="21" t="s">
        <v>53</v>
      </c>
      <c r="B37" s="20" t="s">
        <v>76</v>
      </c>
      <c r="C37" s="38">
        <f>D37+E37+F37+G37</f>
        <v>7.5402</v>
      </c>
      <c r="D37" s="38"/>
      <c r="E37" s="38">
        <f>'Раздел 1'!D47</f>
        <v>7.5402</v>
      </c>
      <c r="F37" s="38"/>
      <c r="G37" s="38"/>
      <c r="H37" s="39">
        <f>I37+J37+K37+L37</f>
        <v>13.567988453999996</v>
      </c>
      <c r="I37" s="39"/>
      <c r="J37" s="39">
        <f>'Раздел 1'!E47</f>
        <v>13.567988453999996</v>
      </c>
      <c r="K37" s="39"/>
      <c r="L37" s="39"/>
      <c r="M37" s="39">
        <f>N37+O37+P37+Q37</f>
        <v>6.027788453999997</v>
      </c>
      <c r="N37" s="39"/>
      <c r="O37" s="39">
        <f>J37-E37</f>
        <v>6.027788453999997</v>
      </c>
      <c r="P37" s="39"/>
      <c r="Q37" s="39"/>
      <c r="R37" s="39">
        <f>S37+T37+U37+V37</f>
        <v>13.567988453999996</v>
      </c>
      <c r="S37" s="38"/>
      <c r="T37" s="39">
        <f>J37</f>
        <v>13.567988453999996</v>
      </c>
      <c r="U37" s="38"/>
      <c r="V37" s="38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4"/>
    </row>
    <row r="38" spans="1:36" ht="38.25">
      <c r="A38" s="33" t="s">
        <v>104</v>
      </c>
      <c r="B38" s="24" t="s">
        <v>121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/>
    </row>
    <row r="39" spans="1:36" s="8" customFormat="1" ht="15.75">
      <c r="A39" s="33" t="s">
        <v>94</v>
      </c>
      <c r="B39" s="24" t="s">
        <v>107</v>
      </c>
      <c r="C39" s="38">
        <f>C40+C74+C80+C85+C86+C87</f>
        <v>99.57931028</v>
      </c>
      <c r="D39" s="38"/>
      <c r="E39" s="38">
        <f>E40+E74+E80+E85+E86+E87</f>
        <v>77.78194554</v>
      </c>
      <c r="F39" s="38">
        <f>F40+F74+F80+F85+F86+F87</f>
        <v>0.826</v>
      </c>
      <c r="G39" s="38">
        <f>G40+G74+G80+G85+G86+G87</f>
        <v>20.97136474</v>
      </c>
      <c r="H39" s="38">
        <f>H40+H74+H80+H85+H86+H87</f>
        <v>128.44968385039996</v>
      </c>
      <c r="I39" s="38"/>
      <c r="J39" s="38">
        <f>J40+J74+J80+J85+J86+J87</f>
        <v>99.36273005919998</v>
      </c>
      <c r="K39" s="38">
        <f>K40+K74+K80+K85+K86+K87</f>
        <v>8.61369084</v>
      </c>
      <c r="L39" s="38">
        <f>L40+L74+L80+L85+L86+L87</f>
        <v>20.473262951199985</v>
      </c>
      <c r="M39" s="38">
        <f>M40+M74+M80+M85+M86+M87</f>
        <v>29.049049359199998</v>
      </c>
      <c r="N39" s="38"/>
      <c r="O39" s="38">
        <f>O40+O74+O80+O85+O86+O87</f>
        <v>21.580784519199998</v>
      </c>
      <c r="P39" s="38">
        <f>P40+P74+P80+P85+P86+P87</f>
        <v>7.787690840000001</v>
      </c>
      <c r="Q39" s="38">
        <f>Q40+Q74+Q80+Q85+Q86+Q87</f>
        <v>-0.31942600000000354</v>
      </c>
      <c r="R39" s="38">
        <f>R40+R74+R80+R85+R86+R87</f>
        <v>124.17699489919997</v>
      </c>
      <c r="S39" s="38"/>
      <c r="T39" s="38">
        <f>T40+T74+T80+T85+T86+T87</f>
        <v>99.36273005919998</v>
      </c>
      <c r="U39" s="38">
        <f>U40+U74+U80+U85+U86+U87</f>
        <v>8.61369084</v>
      </c>
      <c r="V39" s="38">
        <f>V40+V74+V80+V85+V86+V87</f>
        <v>16.200573999999996</v>
      </c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2"/>
    </row>
    <row r="40" spans="1:36" s="8" customFormat="1" ht="25.5">
      <c r="A40" s="34" t="s">
        <v>95</v>
      </c>
      <c r="B40" s="24" t="s">
        <v>119</v>
      </c>
      <c r="C40" s="38">
        <f>C41+C57</f>
        <v>58.31589736</v>
      </c>
      <c r="D40" s="38"/>
      <c r="E40" s="38">
        <f>E41+E57</f>
        <v>58.31589736</v>
      </c>
      <c r="F40" s="38">
        <f>F41+F57</f>
        <v>0</v>
      </c>
      <c r="G40" s="38"/>
      <c r="H40" s="38">
        <f>H41+H57</f>
        <v>53.031369689599984</v>
      </c>
      <c r="I40" s="38"/>
      <c r="J40" s="38">
        <f>J41+J57</f>
        <v>53.031369689599984</v>
      </c>
      <c r="K40" s="38"/>
      <c r="L40" s="38"/>
      <c r="M40" s="38">
        <f>M41+M57</f>
        <v>-5.284527670400002</v>
      </c>
      <c r="N40" s="38"/>
      <c r="O40" s="38">
        <f>O41+O57</f>
        <v>-5.284527670400002</v>
      </c>
      <c r="P40" s="38">
        <f>P41+P57</f>
        <v>0</v>
      </c>
      <c r="Q40" s="38"/>
      <c r="R40" s="38">
        <f>R41+R57</f>
        <v>53.031369689599984</v>
      </c>
      <c r="S40" s="38"/>
      <c r="T40" s="38">
        <f>T41+T57</f>
        <v>53.031369689599984</v>
      </c>
      <c r="U40" s="38"/>
      <c r="V40" s="38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2"/>
    </row>
    <row r="41" spans="1:36" s="8" customFormat="1" ht="15.75">
      <c r="A41" s="34"/>
      <c r="B41" s="22" t="s">
        <v>65</v>
      </c>
      <c r="C41" s="38">
        <f>SUM(C42:C56)</f>
        <v>36.9445138</v>
      </c>
      <c r="D41" s="38"/>
      <c r="E41" s="38">
        <f>SUM(E42:E56)</f>
        <v>36.9445138</v>
      </c>
      <c r="F41" s="38">
        <f>SUM(F42:F56)</f>
        <v>0</v>
      </c>
      <c r="G41" s="38"/>
      <c r="H41" s="38">
        <f>SUM(H42:H56)</f>
        <v>37.592744782199986</v>
      </c>
      <c r="I41" s="38"/>
      <c r="J41" s="38">
        <f>SUM(J42:J56)</f>
        <v>37.592744782199986</v>
      </c>
      <c r="K41" s="38"/>
      <c r="L41" s="38"/>
      <c r="M41" s="38">
        <f>SUM(M42:M56)</f>
        <v>0.6482309821999976</v>
      </c>
      <c r="N41" s="38"/>
      <c r="O41" s="38">
        <f>SUM(O42:O56)</f>
        <v>0.6482309821999976</v>
      </c>
      <c r="P41" s="38"/>
      <c r="Q41" s="38"/>
      <c r="R41" s="38">
        <f>SUM(R42:R56)</f>
        <v>37.592744782199986</v>
      </c>
      <c r="S41" s="38"/>
      <c r="T41" s="38">
        <f>SUM(T42:T56)</f>
        <v>37.592744782199986</v>
      </c>
      <c r="U41" s="38"/>
      <c r="V41" s="38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2"/>
    </row>
    <row r="42" spans="1:36" ht="25.5">
      <c r="A42" s="21" t="s">
        <v>54</v>
      </c>
      <c r="B42" s="23" t="s">
        <v>77</v>
      </c>
      <c r="C42" s="39">
        <f aca="true" t="shared" si="14" ref="C42:C50">D42+E42+F42+G42</f>
        <v>11.6053</v>
      </c>
      <c r="D42" s="39"/>
      <c r="E42" s="39">
        <f>'Раздел 1'!D52</f>
        <v>11.6053</v>
      </c>
      <c r="F42" s="39"/>
      <c r="G42" s="39"/>
      <c r="H42" s="39">
        <f aca="true" t="shared" si="15" ref="H42:H56">I42+J42+K42+L42</f>
        <v>23.444263423</v>
      </c>
      <c r="I42" s="39"/>
      <c r="J42" s="39">
        <f>'Раздел 1'!E52</f>
        <v>23.444263423</v>
      </c>
      <c r="K42" s="39"/>
      <c r="L42" s="39"/>
      <c r="M42" s="39">
        <f>N42+O42+P42+Q42</f>
        <v>11.838963423</v>
      </c>
      <c r="N42" s="39"/>
      <c r="O42" s="39">
        <f>J42-E42</f>
        <v>11.838963423</v>
      </c>
      <c r="P42" s="39"/>
      <c r="Q42" s="39"/>
      <c r="R42" s="39">
        <f>S42+T42+U42+V42</f>
        <v>23.444263423</v>
      </c>
      <c r="S42" s="39"/>
      <c r="T42" s="39">
        <f>J42</f>
        <v>23.444263423</v>
      </c>
      <c r="U42" s="39"/>
      <c r="V42" s="39"/>
      <c r="W42" s="13"/>
      <c r="X42" s="13"/>
      <c r="Y42" s="13"/>
      <c r="Z42" s="13"/>
      <c r="AA42" s="13"/>
      <c r="AB42" s="13"/>
      <c r="AC42" s="13"/>
      <c r="AD42" s="13"/>
      <c r="AE42" s="59">
        <v>2014</v>
      </c>
      <c r="AF42" s="60">
        <v>31</v>
      </c>
      <c r="AG42" s="59"/>
      <c r="AH42" s="59" t="s">
        <v>219</v>
      </c>
      <c r="AI42" s="59">
        <v>29.27</v>
      </c>
      <c r="AJ42" s="14"/>
    </row>
    <row r="43" spans="1:36" ht="25.5">
      <c r="A43" s="21" t="s">
        <v>55</v>
      </c>
      <c r="B43" s="23" t="s">
        <v>130</v>
      </c>
      <c r="C43" s="39">
        <f t="shared" si="14"/>
        <v>2.3669974000000003</v>
      </c>
      <c r="D43" s="44"/>
      <c r="E43" s="39">
        <f>'Раздел 1'!D53</f>
        <v>2.3669974000000003</v>
      </c>
      <c r="F43" s="44"/>
      <c r="G43" s="44"/>
      <c r="H43" s="39">
        <f t="shared" si="15"/>
        <v>2.0418697461999997</v>
      </c>
      <c r="I43" s="39"/>
      <c r="J43" s="39">
        <f>'Раздел 1'!E53</f>
        <v>2.0418697461999997</v>
      </c>
      <c r="K43" s="39"/>
      <c r="L43" s="39"/>
      <c r="M43" s="39">
        <f>N43+O43+P43+Q43</f>
        <v>-0.3251276538000005</v>
      </c>
      <c r="N43" s="39"/>
      <c r="O43" s="39">
        <f>J43-E43</f>
        <v>-0.3251276538000005</v>
      </c>
      <c r="P43" s="39"/>
      <c r="Q43" s="39"/>
      <c r="R43" s="39">
        <f>S43+T43+U43+V43</f>
        <v>2.0418697461999997</v>
      </c>
      <c r="S43" s="39"/>
      <c r="T43" s="39">
        <f>J43</f>
        <v>2.0418697461999997</v>
      </c>
      <c r="U43" s="44"/>
      <c r="V43" s="44"/>
      <c r="W43" s="13"/>
      <c r="X43" s="13"/>
      <c r="Y43" s="13"/>
      <c r="Z43" s="13"/>
      <c r="AA43" s="13"/>
      <c r="AB43" s="13"/>
      <c r="AC43" s="13"/>
      <c r="AD43" s="13"/>
      <c r="AE43" s="59">
        <v>2014</v>
      </c>
      <c r="AF43" s="60">
        <v>31</v>
      </c>
      <c r="AG43" s="59"/>
      <c r="AH43" s="59" t="s">
        <v>219</v>
      </c>
      <c r="AI43" s="59">
        <v>0.546</v>
      </c>
      <c r="AJ43" s="14"/>
    </row>
    <row r="44" spans="1:36" ht="25.5">
      <c r="A44" s="21" t="s">
        <v>56</v>
      </c>
      <c r="B44" s="23" t="s">
        <v>129</v>
      </c>
      <c r="C44" s="39">
        <f t="shared" si="14"/>
        <v>2.3669974000000003</v>
      </c>
      <c r="D44" s="38"/>
      <c r="E44" s="39">
        <f>'Раздел 1'!D54</f>
        <v>2.3669974000000003</v>
      </c>
      <c r="F44" s="38"/>
      <c r="G44" s="38"/>
      <c r="H44" s="39">
        <f t="shared" si="15"/>
        <v>2.0418697461999997</v>
      </c>
      <c r="I44" s="39"/>
      <c r="J44" s="39">
        <f>'Раздел 1'!E54</f>
        <v>2.0418697461999997</v>
      </c>
      <c r="K44" s="39"/>
      <c r="L44" s="39"/>
      <c r="M44" s="39">
        <f>N44+O44+P44+Q44</f>
        <v>-0.3251276538000005</v>
      </c>
      <c r="N44" s="39"/>
      <c r="O44" s="39">
        <f>J44-E44</f>
        <v>-0.3251276538000005</v>
      </c>
      <c r="P44" s="39"/>
      <c r="Q44" s="39"/>
      <c r="R44" s="39">
        <f>S44+T44+U44+V44</f>
        <v>2.0418697461999997</v>
      </c>
      <c r="S44" s="39"/>
      <c r="T44" s="39">
        <f>J44</f>
        <v>2.0418697461999997</v>
      </c>
      <c r="U44" s="38"/>
      <c r="V44" s="38"/>
      <c r="W44" s="13"/>
      <c r="X44" s="13"/>
      <c r="Y44" s="13"/>
      <c r="Z44" s="13"/>
      <c r="AA44" s="13"/>
      <c r="AB44" s="13"/>
      <c r="AC44" s="13"/>
      <c r="AD44" s="13"/>
      <c r="AE44" s="59">
        <v>2014</v>
      </c>
      <c r="AF44" s="60">
        <v>31</v>
      </c>
      <c r="AG44" s="59"/>
      <c r="AH44" s="59" t="s">
        <v>219</v>
      </c>
      <c r="AI44" s="59">
        <v>0.546</v>
      </c>
      <c r="AJ44" s="14"/>
    </row>
    <row r="45" spans="1:36" ht="15.75">
      <c r="A45" s="21" t="s">
        <v>57</v>
      </c>
      <c r="B45" s="23" t="s">
        <v>128</v>
      </c>
      <c r="C45" s="39">
        <f t="shared" si="14"/>
        <v>4.2010005999999995</v>
      </c>
      <c r="D45" s="39"/>
      <c r="E45" s="39">
        <f>'Раздел 1'!D55</f>
        <v>4.2010005999999995</v>
      </c>
      <c r="F45" s="39"/>
      <c r="G45" s="39"/>
      <c r="H45" s="39">
        <f t="shared" si="15"/>
        <v>0</v>
      </c>
      <c r="I45" s="39"/>
      <c r="J45" s="39">
        <f>'Раздел 1'!E55</f>
        <v>0</v>
      </c>
      <c r="K45" s="39"/>
      <c r="L45" s="39"/>
      <c r="M45" s="39">
        <f aca="true" t="shared" si="16" ref="M45:M56">N45+O45+P45+Q45</f>
        <v>-4.2010005999999995</v>
      </c>
      <c r="N45" s="39"/>
      <c r="O45" s="39">
        <f aca="true" t="shared" si="17" ref="O45:O56">J45-E45</f>
        <v>-4.2010005999999995</v>
      </c>
      <c r="P45" s="39"/>
      <c r="Q45" s="39"/>
      <c r="R45" s="39">
        <f aca="true" t="shared" si="18" ref="R45:R56">S45+T45+U45+V45</f>
        <v>0</v>
      </c>
      <c r="S45" s="39"/>
      <c r="T45" s="39">
        <f aca="true" t="shared" si="19" ref="T45:T56">J45</f>
        <v>0</v>
      </c>
      <c r="U45" s="39"/>
      <c r="V45" s="39"/>
      <c r="W45" s="13"/>
      <c r="X45" s="13"/>
      <c r="Y45" s="13"/>
      <c r="Z45" s="13"/>
      <c r="AA45" s="13"/>
      <c r="AB45" s="13"/>
      <c r="AC45" s="13"/>
      <c r="AD45" s="13"/>
      <c r="AE45" s="13"/>
      <c r="AF45" s="50"/>
      <c r="AG45" s="13"/>
      <c r="AH45" s="13"/>
      <c r="AI45" s="13"/>
      <c r="AJ45" s="14"/>
    </row>
    <row r="46" spans="1:36" ht="15.75">
      <c r="A46" s="21" t="s">
        <v>58</v>
      </c>
      <c r="B46" s="23" t="s">
        <v>131</v>
      </c>
      <c r="C46" s="39">
        <f t="shared" si="14"/>
        <v>4.226996</v>
      </c>
      <c r="D46" s="39"/>
      <c r="E46" s="39">
        <f>'Раздел 1'!D56</f>
        <v>4.226996</v>
      </c>
      <c r="F46" s="39"/>
      <c r="G46" s="39"/>
      <c r="H46" s="39">
        <f t="shared" si="15"/>
        <v>0</v>
      </c>
      <c r="I46" s="39"/>
      <c r="J46" s="39">
        <f>'Раздел 1'!E56</f>
        <v>0</v>
      </c>
      <c r="K46" s="39"/>
      <c r="L46" s="39"/>
      <c r="M46" s="39">
        <f t="shared" si="16"/>
        <v>-4.226996</v>
      </c>
      <c r="N46" s="39"/>
      <c r="O46" s="39">
        <f t="shared" si="17"/>
        <v>-4.226996</v>
      </c>
      <c r="P46" s="39"/>
      <c r="Q46" s="39"/>
      <c r="R46" s="39">
        <f t="shared" si="18"/>
        <v>0</v>
      </c>
      <c r="S46" s="39"/>
      <c r="T46" s="39">
        <f t="shared" si="19"/>
        <v>0</v>
      </c>
      <c r="U46" s="39"/>
      <c r="V46" s="39"/>
      <c r="W46" s="13"/>
      <c r="X46" s="13"/>
      <c r="Y46" s="13"/>
      <c r="Z46" s="13"/>
      <c r="AA46" s="13"/>
      <c r="AB46" s="13"/>
      <c r="AC46" s="13"/>
      <c r="AD46" s="13"/>
      <c r="AE46" s="13"/>
      <c r="AF46" s="50"/>
      <c r="AG46" s="13"/>
      <c r="AH46" s="13"/>
      <c r="AI46" s="13"/>
      <c r="AJ46" s="14"/>
    </row>
    <row r="47" spans="1:36" ht="15.75">
      <c r="A47" s="21" t="s">
        <v>59</v>
      </c>
      <c r="B47" s="23" t="s">
        <v>132</v>
      </c>
      <c r="C47" s="39">
        <f t="shared" si="14"/>
        <v>3.0439988</v>
      </c>
      <c r="D47" s="39"/>
      <c r="E47" s="39">
        <f>'Раздел 1'!D57</f>
        <v>3.0439988</v>
      </c>
      <c r="F47" s="39"/>
      <c r="G47" s="39"/>
      <c r="H47" s="39">
        <f t="shared" si="15"/>
        <v>0.0698373678</v>
      </c>
      <c r="I47" s="39"/>
      <c r="J47" s="39">
        <f>'Раздел 1'!E57</f>
        <v>0.0698373678</v>
      </c>
      <c r="K47" s="39"/>
      <c r="L47" s="39"/>
      <c r="M47" s="39">
        <f t="shared" si="16"/>
        <v>-2.9741614322</v>
      </c>
      <c r="N47" s="39"/>
      <c r="O47" s="39">
        <f t="shared" si="17"/>
        <v>-2.9741614322</v>
      </c>
      <c r="P47" s="39"/>
      <c r="Q47" s="39"/>
      <c r="R47" s="39">
        <f t="shared" si="18"/>
        <v>0.0698373678</v>
      </c>
      <c r="S47" s="39"/>
      <c r="T47" s="39">
        <f t="shared" si="19"/>
        <v>0.0698373678</v>
      </c>
      <c r="U47" s="39"/>
      <c r="V47" s="39"/>
      <c r="W47" s="13"/>
      <c r="X47" s="13"/>
      <c r="Y47" s="13"/>
      <c r="Z47" s="13"/>
      <c r="AA47" s="13"/>
      <c r="AB47" s="13"/>
      <c r="AC47" s="13"/>
      <c r="AD47" s="13"/>
      <c r="AE47" s="13">
        <v>2014</v>
      </c>
      <c r="AF47" s="50">
        <v>31</v>
      </c>
      <c r="AG47" s="13"/>
      <c r="AH47" s="13" t="s">
        <v>231</v>
      </c>
      <c r="AI47" s="13">
        <v>0.93</v>
      </c>
      <c r="AJ47" s="14"/>
    </row>
    <row r="48" spans="1:36" ht="15.75">
      <c r="A48" s="21" t="s">
        <v>60</v>
      </c>
      <c r="B48" s="23" t="s">
        <v>133</v>
      </c>
      <c r="C48" s="39">
        <f t="shared" si="14"/>
        <v>4.1830055999999995</v>
      </c>
      <c r="D48" s="39"/>
      <c r="E48" s="39">
        <f>'Раздел 1'!D58</f>
        <v>4.1830055999999995</v>
      </c>
      <c r="F48" s="39"/>
      <c r="G48" s="39"/>
      <c r="H48" s="39">
        <f t="shared" si="15"/>
        <v>0</v>
      </c>
      <c r="I48" s="39"/>
      <c r="J48" s="39">
        <f>'Раздел 1'!E58</f>
        <v>0</v>
      </c>
      <c r="K48" s="39"/>
      <c r="L48" s="39"/>
      <c r="M48" s="39">
        <f t="shared" si="16"/>
        <v>-4.1830055999999995</v>
      </c>
      <c r="N48" s="39"/>
      <c r="O48" s="39">
        <f t="shared" si="17"/>
        <v>-4.1830055999999995</v>
      </c>
      <c r="P48" s="39"/>
      <c r="Q48" s="39"/>
      <c r="R48" s="39">
        <f t="shared" si="18"/>
        <v>0</v>
      </c>
      <c r="S48" s="39"/>
      <c r="T48" s="39">
        <f t="shared" si="19"/>
        <v>0</v>
      </c>
      <c r="U48" s="39"/>
      <c r="V48" s="39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4"/>
    </row>
    <row r="49" spans="1:36" ht="15.75" customHeight="1">
      <c r="A49" s="21" t="s">
        <v>74</v>
      </c>
      <c r="B49" s="23" t="s">
        <v>134</v>
      </c>
      <c r="C49" s="39">
        <f t="shared" si="14"/>
        <v>3.381998</v>
      </c>
      <c r="D49" s="39"/>
      <c r="E49" s="39">
        <f>'Раздел 1'!D59</f>
        <v>3.381998</v>
      </c>
      <c r="F49" s="39"/>
      <c r="G49" s="39"/>
      <c r="H49" s="39">
        <f t="shared" si="15"/>
        <v>4.5262097917999995</v>
      </c>
      <c r="I49" s="39"/>
      <c r="J49" s="39">
        <f>'Раздел 1'!E59</f>
        <v>4.5262097917999995</v>
      </c>
      <c r="K49" s="39"/>
      <c r="L49" s="39"/>
      <c r="M49" s="39">
        <f t="shared" si="16"/>
        <v>1.1442117917999997</v>
      </c>
      <c r="N49" s="39"/>
      <c r="O49" s="39">
        <f t="shared" si="17"/>
        <v>1.1442117917999997</v>
      </c>
      <c r="P49" s="39"/>
      <c r="Q49" s="39"/>
      <c r="R49" s="39">
        <f t="shared" si="18"/>
        <v>4.5262097917999995</v>
      </c>
      <c r="S49" s="39"/>
      <c r="T49" s="39">
        <f t="shared" si="19"/>
        <v>4.5262097917999995</v>
      </c>
      <c r="U49" s="39"/>
      <c r="V49" s="39"/>
      <c r="W49" s="13"/>
      <c r="X49" s="13"/>
      <c r="Y49" s="13"/>
      <c r="Z49" s="13"/>
      <c r="AA49" s="13"/>
      <c r="AB49" s="13"/>
      <c r="AC49" s="13"/>
      <c r="AD49" s="13"/>
      <c r="AE49" s="13">
        <v>2014</v>
      </c>
      <c r="AF49" s="50">
        <v>31</v>
      </c>
      <c r="AG49" s="13"/>
      <c r="AH49" s="13" t="s">
        <v>216</v>
      </c>
      <c r="AI49" s="50">
        <v>0.97</v>
      </c>
      <c r="AJ49" s="14"/>
    </row>
    <row r="50" spans="1:36" ht="25.5">
      <c r="A50" s="21" t="s">
        <v>75</v>
      </c>
      <c r="B50" s="23" t="s">
        <v>217</v>
      </c>
      <c r="C50" s="39">
        <f t="shared" si="14"/>
        <v>1.56822</v>
      </c>
      <c r="D50" s="39"/>
      <c r="E50" s="39">
        <f>'Раздел 1'!D60</f>
        <v>1.56822</v>
      </c>
      <c r="F50" s="39"/>
      <c r="G50" s="39"/>
      <c r="H50" s="39">
        <f t="shared" si="15"/>
        <v>1.6057235034</v>
      </c>
      <c r="I50" s="39"/>
      <c r="J50" s="39">
        <f>'Раздел 1'!E60</f>
        <v>1.6057235034</v>
      </c>
      <c r="K50" s="39"/>
      <c r="L50" s="39"/>
      <c r="M50" s="39">
        <f t="shared" si="16"/>
        <v>0.03750350339999997</v>
      </c>
      <c r="N50" s="39"/>
      <c r="O50" s="39">
        <f t="shared" si="17"/>
        <v>0.03750350339999997</v>
      </c>
      <c r="P50" s="39"/>
      <c r="Q50" s="39"/>
      <c r="R50" s="39">
        <f t="shared" si="18"/>
        <v>1.6057235034</v>
      </c>
      <c r="S50" s="39"/>
      <c r="T50" s="39">
        <f t="shared" si="19"/>
        <v>1.6057235034</v>
      </c>
      <c r="U50" s="39"/>
      <c r="V50" s="39"/>
      <c r="W50" s="13"/>
      <c r="X50" s="13"/>
      <c r="Y50" s="13"/>
      <c r="Z50" s="13"/>
      <c r="AA50" s="13"/>
      <c r="AB50" s="13"/>
      <c r="AC50" s="13"/>
      <c r="AD50" s="13"/>
      <c r="AE50" s="13">
        <v>2014</v>
      </c>
      <c r="AF50" s="50">
        <v>31</v>
      </c>
      <c r="AG50" s="13"/>
      <c r="AH50" s="13" t="s">
        <v>218</v>
      </c>
      <c r="AI50" s="50">
        <v>0.64</v>
      </c>
      <c r="AJ50" s="14"/>
    </row>
    <row r="51" spans="1:36" ht="15.75">
      <c r="A51" s="21" t="s">
        <v>81</v>
      </c>
      <c r="B51" s="23" t="s">
        <v>164</v>
      </c>
      <c r="C51" s="39"/>
      <c r="D51" s="39"/>
      <c r="E51" s="39"/>
      <c r="F51" s="39"/>
      <c r="G51" s="39"/>
      <c r="H51" s="39">
        <f t="shared" si="15"/>
        <v>0.534093842</v>
      </c>
      <c r="I51" s="39"/>
      <c r="J51" s="39">
        <f>'Раздел 1'!E61</f>
        <v>0.534093842</v>
      </c>
      <c r="K51" s="39"/>
      <c r="L51" s="39"/>
      <c r="M51" s="39">
        <f t="shared" si="16"/>
        <v>0.534093842</v>
      </c>
      <c r="N51" s="39"/>
      <c r="O51" s="39">
        <f t="shared" si="17"/>
        <v>0.534093842</v>
      </c>
      <c r="P51" s="39"/>
      <c r="Q51" s="39"/>
      <c r="R51" s="39">
        <f t="shared" si="18"/>
        <v>0.534093842</v>
      </c>
      <c r="S51" s="39"/>
      <c r="T51" s="39">
        <f t="shared" si="19"/>
        <v>0.534093842</v>
      </c>
      <c r="U51" s="39"/>
      <c r="V51" s="39"/>
      <c r="W51" s="13"/>
      <c r="X51" s="13"/>
      <c r="Y51" s="13"/>
      <c r="Z51" s="13"/>
      <c r="AA51" s="13"/>
      <c r="AB51" s="13"/>
      <c r="AC51" s="13"/>
      <c r="AD51" s="13"/>
      <c r="AE51" s="13">
        <v>2014</v>
      </c>
      <c r="AF51" s="50">
        <v>31</v>
      </c>
      <c r="AG51" s="13"/>
      <c r="AH51" s="13" t="s">
        <v>219</v>
      </c>
      <c r="AI51" s="50">
        <v>0.033</v>
      </c>
      <c r="AJ51" s="14"/>
    </row>
    <row r="52" spans="1:36" ht="15.75">
      <c r="A52" s="21" t="s">
        <v>82</v>
      </c>
      <c r="B52" s="23" t="s">
        <v>171</v>
      </c>
      <c r="C52" s="39"/>
      <c r="D52" s="39"/>
      <c r="E52" s="39"/>
      <c r="F52" s="39"/>
      <c r="G52" s="39"/>
      <c r="H52" s="39">
        <f t="shared" si="15"/>
        <v>2.2663742805999996</v>
      </c>
      <c r="I52" s="39"/>
      <c r="J52" s="39">
        <f>'Раздел 1'!E62</f>
        <v>2.2663742805999996</v>
      </c>
      <c r="K52" s="39"/>
      <c r="L52" s="39"/>
      <c r="M52" s="39">
        <f t="shared" si="16"/>
        <v>2.2663742805999996</v>
      </c>
      <c r="N52" s="39"/>
      <c r="O52" s="39">
        <f t="shared" si="17"/>
        <v>2.2663742805999996</v>
      </c>
      <c r="P52" s="39"/>
      <c r="Q52" s="39"/>
      <c r="R52" s="39">
        <f t="shared" si="18"/>
        <v>2.2663742805999996</v>
      </c>
      <c r="S52" s="39"/>
      <c r="T52" s="39">
        <f t="shared" si="19"/>
        <v>2.2663742805999996</v>
      </c>
      <c r="U52" s="39"/>
      <c r="V52" s="39"/>
      <c r="W52" s="13"/>
      <c r="X52" s="13"/>
      <c r="Y52" s="13"/>
      <c r="Z52" s="13"/>
      <c r="AA52" s="13"/>
      <c r="AB52" s="13"/>
      <c r="AC52" s="13"/>
      <c r="AD52" s="13"/>
      <c r="AE52" s="13">
        <v>2014</v>
      </c>
      <c r="AF52" s="50">
        <v>31</v>
      </c>
      <c r="AG52" s="13"/>
      <c r="AH52" s="13" t="s">
        <v>216</v>
      </c>
      <c r="AI52" s="50">
        <v>0.57</v>
      </c>
      <c r="AJ52" s="14"/>
    </row>
    <row r="53" spans="1:36" ht="15.75">
      <c r="A53" s="21" t="s">
        <v>83</v>
      </c>
      <c r="B53" s="23" t="s">
        <v>185</v>
      </c>
      <c r="C53" s="39"/>
      <c r="D53" s="39"/>
      <c r="E53" s="39"/>
      <c r="F53" s="39"/>
      <c r="G53" s="39"/>
      <c r="H53" s="39">
        <f t="shared" si="15"/>
        <v>0.1159051696</v>
      </c>
      <c r="I53" s="39"/>
      <c r="J53" s="39">
        <f>'Раздел 1'!E63</f>
        <v>0.1159051696</v>
      </c>
      <c r="K53" s="39"/>
      <c r="L53" s="39"/>
      <c r="M53" s="39">
        <f t="shared" si="16"/>
        <v>0.1159051696</v>
      </c>
      <c r="N53" s="39"/>
      <c r="O53" s="39">
        <f t="shared" si="17"/>
        <v>0.1159051696</v>
      </c>
      <c r="P53" s="39"/>
      <c r="Q53" s="39"/>
      <c r="R53" s="39">
        <f t="shared" si="18"/>
        <v>0.1159051696</v>
      </c>
      <c r="S53" s="39"/>
      <c r="T53" s="39">
        <f t="shared" si="19"/>
        <v>0.1159051696</v>
      </c>
      <c r="U53" s="39"/>
      <c r="V53" s="39"/>
      <c r="W53" s="13"/>
      <c r="X53" s="13"/>
      <c r="Y53" s="13"/>
      <c r="Z53" s="13"/>
      <c r="AA53" s="13"/>
      <c r="AB53" s="13"/>
      <c r="AC53" s="13"/>
      <c r="AD53" s="13"/>
      <c r="AE53" s="13">
        <v>2014</v>
      </c>
      <c r="AF53" s="50">
        <v>31</v>
      </c>
      <c r="AG53" s="13"/>
      <c r="AH53" s="13" t="s">
        <v>219</v>
      </c>
      <c r="AI53" s="50">
        <v>0.12</v>
      </c>
      <c r="AJ53" s="14"/>
    </row>
    <row r="54" spans="1:36" ht="15.75">
      <c r="A54" s="21" t="s">
        <v>84</v>
      </c>
      <c r="B54" s="23" t="s">
        <v>186</v>
      </c>
      <c r="C54" s="39"/>
      <c r="D54" s="39"/>
      <c r="E54" s="39"/>
      <c r="F54" s="39"/>
      <c r="G54" s="39"/>
      <c r="H54" s="39">
        <f t="shared" si="15"/>
        <v>0.1162381538</v>
      </c>
      <c r="I54" s="39"/>
      <c r="J54" s="39">
        <f>'Раздел 1'!E64</f>
        <v>0.1162381538</v>
      </c>
      <c r="K54" s="39"/>
      <c r="L54" s="39"/>
      <c r="M54" s="39">
        <f t="shared" si="16"/>
        <v>0.1162381538</v>
      </c>
      <c r="N54" s="39"/>
      <c r="O54" s="39">
        <f t="shared" si="17"/>
        <v>0.1162381538</v>
      </c>
      <c r="P54" s="39"/>
      <c r="Q54" s="39"/>
      <c r="R54" s="39">
        <f t="shared" si="18"/>
        <v>0.1162381538</v>
      </c>
      <c r="S54" s="39"/>
      <c r="T54" s="39">
        <f t="shared" si="19"/>
        <v>0.1162381538</v>
      </c>
      <c r="U54" s="39"/>
      <c r="V54" s="39"/>
      <c r="W54" s="13"/>
      <c r="X54" s="13"/>
      <c r="Y54" s="13"/>
      <c r="Z54" s="13"/>
      <c r="AA54" s="13"/>
      <c r="AB54" s="13"/>
      <c r="AC54" s="13"/>
      <c r="AD54" s="13"/>
      <c r="AE54" s="13">
        <v>2014</v>
      </c>
      <c r="AF54" s="50">
        <v>31</v>
      </c>
      <c r="AG54" s="13"/>
      <c r="AH54" s="13" t="s">
        <v>219</v>
      </c>
      <c r="AI54" s="50">
        <v>0.12</v>
      </c>
      <c r="AJ54" s="14"/>
    </row>
    <row r="55" spans="1:36" ht="15.75">
      <c r="A55" s="21" t="s">
        <v>85</v>
      </c>
      <c r="B55" s="23" t="s">
        <v>187</v>
      </c>
      <c r="C55" s="39"/>
      <c r="D55" s="39"/>
      <c r="E55" s="39"/>
      <c r="F55" s="39"/>
      <c r="G55" s="39"/>
      <c r="H55" s="39">
        <f t="shared" si="15"/>
        <v>0.1033243518</v>
      </c>
      <c r="I55" s="39"/>
      <c r="J55" s="39">
        <f>'Раздел 1'!E65</f>
        <v>0.1033243518</v>
      </c>
      <c r="K55" s="39"/>
      <c r="L55" s="39"/>
      <c r="M55" s="39">
        <f t="shared" si="16"/>
        <v>0.1033243518</v>
      </c>
      <c r="N55" s="39"/>
      <c r="O55" s="39">
        <f t="shared" si="17"/>
        <v>0.1033243518</v>
      </c>
      <c r="P55" s="39"/>
      <c r="Q55" s="39"/>
      <c r="R55" s="39">
        <f t="shared" si="18"/>
        <v>0.1033243518</v>
      </c>
      <c r="S55" s="39"/>
      <c r="T55" s="39">
        <f t="shared" si="19"/>
        <v>0.1033243518</v>
      </c>
      <c r="U55" s="39"/>
      <c r="V55" s="39"/>
      <c r="W55" s="13"/>
      <c r="X55" s="13"/>
      <c r="Y55" s="13"/>
      <c r="Z55" s="13"/>
      <c r="AA55" s="13"/>
      <c r="AB55" s="13"/>
      <c r="AC55" s="13"/>
      <c r="AD55" s="13"/>
      <c r="AE55" s="13">
        <v>2014</v>
      </c>
      <c r="AF55" s="50">
        <v>31</v>
      </c>
      <c r="AG55" s="13"/>
      <c r="AH55" s="13" t="s">
        <v>219</v>
      </c>
      <c r="AI55" s="50">
        <v>0.1</v>
      </c>
      <c r="AJ55" s="14"/>
    </row>
    <row r="56" spans="1:36" ht="25.5">
      <c r="A56" s="21" t="s">
        <v>86</v>
      </c>
      <c r="B56" s="23" t="s">
        <v>177</v>
      </c>
      <c r="C56" s="39"/>
      <c r="D56" s="39"/>
      <c r="E56" s="39"/>
      <c r="F56" s="39"/>
      <c r="G56" s="39"/>
      <c r="H56" s="39">
        <f t="shared" si="15"/>
        <v>0.727035406</v>
      </c>
      <c r="I56" s="39"/>
      <c r="J56" s="39">
        <f>'Раздел 1'!E66</f>
        <v>0.727035406</v>
      </c>
      <c r="K56" s="39"/>
      <c r="L56" s="39"/>
      <c r="M56" s="39">
        <f t="shared" si="16"/>
        <v>0.727035406</v>
      </c>
      <c r="N56" s="39"/>
      <c r="O56" s="39">
        <f t="shared" si="17"/>
        <v>0.727035406</v>
      </c>
      <c r="P56" s="39"/>
      <c r="Q56" s="39"/>
      <c r="R56" s="39">
        <f t="shared" si="18"/>
        <v>0.727035406</v>
      </c>
      <c r="S56" s="39"/>
      <c r="T56" s="39">
        <f t="shared" si="19"/>
        <v>0.727035406</v>
      </c>
      <c r="U56" s="39"/>
      <c r="V56" s="39"/>
      <c r="W56" s="13"/>
      <c r="X56" s="13"/>
      <c r="Y56" s="13"/>
      <c r="Z56" s="13"/>
      <c r="AA56" s="13"/>
      <c r="AB56" s="13"/>
      <c r="AC56" s="13"/>
      <c r="AD56" s="13"/>
      <c r="AE56" s="13">
        <v>2014</v>
      </c>
      <c r="AF56" s="50">
        <v>31</v>
      </c>
      <c r="AG56" s="13"/>
      <c r="AH56" s="13" t="s">
        <v>219</v>
      </c>
      <c r="AI56" s="50">
        <v>0.805</v>
      </c>
      <c r="AJ56" s="14"/>
    </row>
    <row r="57" spans="1:36" s="8" customFormat="1" ht="15.75">
      <c r="A57" s="30"/>
      <c r="B57" s="27" t="s">
        <v>66</v>
      </c>
      <c r="C57" s="38">
        <f>SUM(C58:C73)</f>
        <v>21.371383559999998</v>
      </c>
      <c r="D57" s="38"/>
      <c r="E57" s="38">
        <f>SUM(E58:E73)</f>
        <v>21.371383559999998</v>
      </c>
      <c r="F57" s="38"/>
      <c r="G57" s="38"/>
      <c r="H57" s="38">
        <f>SUM(H58:H73)</f>
        <v>15.438624907399996</v>
      </c>
      <c r="I57" s="38"/>
      <c r="J57" s="38">
        <f>SUM(J58:J73)</f>
        <v>15.438624907399996</v>
      </c>
      <c r="K57" s="38"/>
      <c r="L57" s="38"/>
      <c r="M57" s="38">
        <f>SUM(M58:M73)</f>
        <v>-5.9327586526</v>
      </c>
      <c r="N57" s="38"/>
      <c r="O57" s="38">
        <f>SUM(O58:O73)</f>
        <v>-5.9327586526</v>
      </c>
      <c r="P57" s="38"/>
      <c r="Q57" s="38"/>
      <c r="R57" s="38">
        <f>SUM(R58:R73)</f>
        <v>15.438624907399996</v>
      </c>
      <c r="S57" s="38"/>
      <c r="T57" s="38">
        <f>SUM(T58:T73)</f>
        <v>15.438624907399996</v>
      </c>
      <c r="U57" s="38"/>
      <c r="V57" s="38"/>
      <c r="W57" s="41"/>
      <c r="X57" s="41"/>
      <c r="Y57" s="41"/>
      <c r="Z57" s="41"/>
      <c r="AA57" s="41"/>
      <c r="AB57" s="41"/>
      <c r="AC57" s="41"/>
      <c r="AD57" s="41"/>
      <c r="AE57" s="41"/>
      <c r="AF57" s="54"/>
      <c r="AG57" s="41"/>
      <c r="AH57" s="41"/>
      <c r="AI57" s="54"/>
      <c r="AJ57" s="42"/>
    </row>
    <row r="58" spans="1:36" ht="38.25">
      <c r="A58" s="21" t="s">
        <v>87</v>
      </c>
      <c r="B58" s="23" t="s">
        <v>37</v>
      </c>
      <c r="C58" s="39">
        <f aca="true" t="shared" si="20" ref="C58:C67">D58+E58+F58+G58</f>
        <v>19.50068</v>
      </c>
      <c r="D58" s="39"/>
      <c r="E58" s="39">
        <f>'Раздел 1'!D68</f>
        <v>19.50068</v>
      </c>
      <c r="F58" s="39"/>
      <c r="G58" s="39"/>
      <c r="H58" s="39">
        <f>I58+J58+K58+L58</f>
        <v>12.424759791</v>
      </c>
      <c r="I58" s="39"/>
      <c r="J58" s="39">
        <f>'Раздел 1'!E68</f>
        <v>12.424759791</v>
      </c>
      <c r="K58" s="39"/>
      <c r="L58" s="39"/>
      <c r="M58" s="39">
        <f>N58+O58+P58+Q58</f>
        <v>-7.0759202089999995</v>
      </c>
      <c r="N58" s="39"/>
      <c r="O58" s="39">
        <f>J58-E58</f>
        <v>-7.0759202089999995</v>
      </c>
      <c r="P58" s="39"/>
      <c r="Q58" s="39"/>
      <c r="R58" s="39">
        <f>S58+T58+U58+V58</f>
        <v>12.424759791</v>
      </c>
      <c r="S58" s="39"/>
      <c r="T58" s="39">
        <f>J58</f>
        <v>12.424759791</v>
      </c>
      <c r="U58" s="39"/>
      <c r="V58" s="39"/>
      <c r="W58" s="13"/>
      <c r="X58" s="13"/>
      <c r="Y58" s="13"/>
      <c r="Z58" s="13"/>
      <c r="AA58" s="13"/>
      <c r="AB58" s="13"/>
      <c r="AC58" s="13"/>
      <c r="AD58" s="13"/>
      <c r="AE58" s="13">
        <v>2014</v>
      </c>
      <c r="AF58" s="51" t="s">
        <v>220</v>
      </c>
      <c r="AG58" s="13"/>
      <c r="AH58" s="52" t="s">
        <v>221</v>
      </c>
      <c r="AI58" s="51" t="s">
        <v>222</v>
      </c>
      <c r="AJ58" s="14"/>
    </row>
    <row r="59" spans="1:36" ht="33.75" customHeight="1">
      <c r="A59" s="21" t="s">
        <v>168</v>
      </c>
      <c r="B59" s="23" t="s">
        <v>140</v>
      </c>
      <c r="C59" s="39">
        <f t="shared" si="20"/>
        <v>0.6810015999999999</v>
      </c>
      <c r="D59" s="39"/>
      <c r="E59" s="39">
        <f>'Раздел 1'!D69</f>
        <v>0.6810015999999999</v>
      </c>
      <c r="F59" s="39"/>
      <c r="G59" s="39"/>
      <c r="H59" s="39">
        <f aca="true" t="shared" si="21" ref="H59:H64">I59+J59+K59+L59</f>
        <v>0.7147393811999999</v>
      </c>
      <c r="I59" s="39"/>
      <c r="J59" s="39">
        <f>'Раздел 1'!E69</f>
        <v>0.7147393811999999</v>
      </c>
      <c r="K59" s="39"/>
      <c r="L59" s="39"/>
      <c r="M59" s="39">
        <f>N59+O59+P59+Q59</f>
        <v>0.03373778120000004</v>
      </c>
      <c r="N59" s="39"/>
      <c r="O59" s="39">
        <f>J59-E59</f>
        <v>0.03373778120000004</v>
      </c>
      <c r="P59" s="39"/>
      <c r="Q59" s="39"/>
      <c r="R59" s="39">
        <f aca="true" t="shared" si="22" ref="R59:R65">S59+T59+U59+V59</f>
        <v>0.7147393811999999</v>
      </c>
      <c r="S59" s="39"/>
      <c r="T59" s="39">
        <f aca="true" t="shared" si="23" ref="T59:T64">J59</f>
        <v>0.7147393811999999</v>
      </c>
      <c r="U59" s="39"/>
      <c r="V59" s="39"/>
      <c r="W59" s="13"/>
      <c r="X59" s="13"/>
      <c r="Y59" s="13"/>
      <c r="Z59" s="13"/>
      <c r="AA59" s="13"/>
      <c r="AB59" s="13"/>
      <c r="AC59" s="13"/>
      <c r="AD59" s="13"/>
      <c r="AE59" s="13">
        <v>2014</v>
      </c>
      <c r="AF59" s="50">
        <v>31</v>
      </c>
      <c r="AG59" s="13"/>
      <c r="AH59" s="13" t="s">
        <v>215</v>
      </c>
      <c r="AI59" s="50">
        <v>0.256</v>
      </c>
      <c r="AJ59" s="14"/>
    </row>
    <row r="60" spans="1:36" ht="25.5">
      <c r="A60" s="21" t="s">
        <v>169</v>
      </c>
      <c r="B60" s="23" t="s">
        <v>141</v>
      </c>
      <c r="C60" s="39">
        <f t="shared" si="20"/>
        <v>0.24499985999999999</v>
      </c>
      <c r="D60" s="39"/>
      <c r="E60" s="39">
        <f>'Раздел 1'!D70</f>
        <v>0.24499985999999999</v>
      </c>
      <c r="F60" s="39"/>
      <c r="G60" s="39"/>
      <c r="H60" s="39">
        <f t="shared" si="21"/>
        <v>0.30263661779999995</v>
      </c>
      <c r="I60" s="39"/>
      <c r="J60" s="39">
        <f>'Раздел 1'!E70</f>
        <v>0.30263661779999995</v>
      </c>
      <c r="K60" s="39"/>
      <c r="L60" s="39"/>
      <c r="M60" s="39">
        <f>N60+O60+P60+Q60</f>
        <v>0.057636757799999966</v>
      </c>
      <c r="N60" s="39"/>
      <c r="O60" s="39">
        <f>J60-E60</f>
        <v>0.057636757799999966</v>
      </c>
      <c r="P60" s="39"/>
      <c r="Q60" s="39"/>
      <c r="R60" s="39">
        <f t="shared" si="22"/>
        <v>0.30263661779999995</v>
      </c>
      <c r="S60" s="39"/>
      <c r="T60" s="39">
        <f t="shared" si="23"/>
        <v>0.30263661779999995</v>
      </c>
      <c r="U60" s="39"/>
      <c r="V60" s="39"/>
      <c r="W60" s="13"/>
      <c r="X60" s="13"/>
      <c r="Y60" s="13"/>
      <c r="Z60" s="13"/>
      <c r="AA60" s="13"/>
      <c r="AB60" s="13"/>
      <c r="AC60" s="13"/>
      <c r="AD60" s="13"/>
      <c r="AE60" s="13">
        <v>2014</v>
      </c>
      <c r="AF60" s="50">
        <v>31</v>
      </c>
      <c r="AG60" s="13"/>
      <c r="AH60" s="13" t="s">
        <v>215</v>
      </c>
      <c r="AI60" s="50">
        <v>0.122</v>
      </c>
      <c r="AJ60" s="14"/>
    </row>
    <row r="61" spans="1:36" ht="25.5">
      <c r="A61" s="21" t="s">
        <v>170</v>
      </c>
      <c r="B61" s="23" t="s">
        <v>142</v>
      </c>
      <c r="C61" s="39"/>
      <c r="D61" s="39"/>
      <c r="E61" s="39"/>
      <c r="F61" s="39"/>
      <c r="G61" s="39"/>
      <c r="H61" s="39">
        <f t="shared" si="21"/>
        <v>0.013197119999999998</v>
      </c>
      <c r="I61" s="39"/>
      <c r="J61" s="39">
        <f>'Раздел 1'!E71</f>
        <v>0.013197119999999998</v>
      </c>
      <c r="K61" s="39"/>
      <c r="L61" s="39"/>
      <c r="M61" s="39">
        <f aca="true" t="shared" si="24" ref="M61:M73">N61+O61+P61+Q61</f>
        <v>0.013197119999999998</v>
      </c>
      <c r="N61" s="39"/>
      <c r="O61" s="39">
        <f aca="true" t="shared" si="25" ref="O61:O73">J61-E61</f>
        <v>0.013197119999999998</v>
      </c>
      <c r="P61" s="39"/>
      <c r="Q61" s="39"/>
      <c r="R61" s="39">
        <f t="shared" si="22"/>
        <v>0.013197119999999998</v>
      </c>
      <c r="S61" s="39"/>
      <c r="T61" s="39">
        <f t="shared" si="23"/>
        <v>0.013197119999999998</v>
      </c>
      <c r="U61" s="39"/>
      <c r="V61" s="39"/>
      <c r="W61" s="13"/>
      <c r="X61" s="13"/>
      <c r="Y61" s="13"/>
      <c r="Z61" s="13"/>
      <c r="AA61" s="13"/>
      <c r="AB61" s="13"/>
      <c r="AC61" s="13"/>
      <c r="AD61" s="13"/>
      <c r="AE61" s="13"/>
      <c r="AF61" s="50"/>
      <c r="AG61" s="13"/>
      <c r="AH61" s="13"/>
      <c r="AI61" s="50"/>
      <c r="AJ61" s="14"/>
    </row>
    <row r="62" spans="1:36" ht="25.5">
      <c r="A62" s="21" t="s">
        <v>184</v>
      </c>
      <c r="B62" s="23" t="s">
        <v>143</v>
      </c>
      <c r="C62" s="39"/>
      <c r="D62" s="39"/>
      <c r="E62" s="39"/>
      <c r="F62" s="39"/>
      <c r="G62" s="39"/>
      <c r="H62" s="39">
        <f t="shared" si="21"/>
        <v>0</v>
      </c>
      <c r="I62" s="39"/>
      <c r="J62" s="39">
        <f>'Раздел 1'!E72</f>
        <v>0</v>
      </c>
      <c r="K62" s="39"/>
      <c r="L62" s="39"/>
      <c r="M62" s="39">
        <f t="shared" si="24"/>
        <v>0</v>
      </c>
      <c r="N62" s="39"/>
      <c r="O62" s="39">
        <f t="shared" si="25"/>
        <v>0</v>
      </c>
      <c r="P62" s="39"/>
      <c r="Q62" s="39"/>
      <c r="R62" s="39">
        <f t="shared" si="22"/>
        <v>0</v>
      </c>
      <c r="S62" s="39"/>
      <c r="T62" s="39">
        <f t="shared" si="23"/>
        <v>0</v>
      </c>
      <c r="U62" s="39"/>
      <c r="V62" s="39"/>
      <c r="W62" s="13"/>
      <c r="X62" s="13"/>
      <c r="Y62" s="13"/>
      <c r="Z62" s="13"/>
      <c r="AA62" s="13"/>
      <c r="AB62" s="13"/>
      <c r="AC62" s="13"/>
      <c r="AD62" s="13"/>
      <c r="AE62" s="13"/>
      <c r="AF62" s="50"/>
      <c r="AG62" s="13"/>
      <c r="AH62" s="13"/>
      <c r="AI62" s="50"/>
      <c r="AJ62" s="14"/>
    </row>
    <row r="63" spans="1:36" ht="25.5">
      <c r="A63" s="21" t="s">
        <v>173</v>
      </c>
      <c r="B63" s="23" t="s">
        <v>144</v>
      </c>
      <c r="C63" s="39"/>
      <c r="D63" s="39"/>
      <c r="E63" s="39"/>
      <c r="F63" s="39"/>
      <c r="G63" s="39"/>
      <c r="H63" s="39">
        <f t="shared" si="21"/>
        <v>0.5621788804</v>
      </c>
      <c r="I63" s="39"/>
      <c r="J63" s="39">
        <f>'Раздел 1'!E73</f>
        <v>0.5621788804</v>
      </c>
      <c r="K63" s="39"/>
      <c r="L63" s="39"/>
      <c r="M63" s="39">
        <f t="shared" si="24"/>
        <v>0.5621788804</v>
      </c>
      <c r="N63" s="39"/>
      <c r="O63" s="39">
        <f t="shared" si="25"/>
        <v>0.5621788804</v>
      </c>
      <c r="P63" s="39"/>
      <c r="Q63" s="39"/>
      <c r="R63" s="39">
        <f t="shared" si="22"/>
        <v>0.5621788804</v>
      </c>
      <c r="S63" s="39"/>
      <c r="T63" s="39">
        <f t="shared" si="23"/>
        <v>0.5621788804</v>
      </c>
      <c r="U63" s="39"/>
      <c r="V63" s="39"/>
      <c r="W63" s="13"/>
      <c r="X63" s="13"/>
      <c r="Y63" s="13"/>
      <c r="Z63" s="13"/>
      <c r="AA63" s="13"/>
      <c r="AB63" s="13"/>
      <c r="AC63" s="13"/>
      <c r="AD63" s="13"/>
      <c r="AE63" s="13">
        <v>2014</v>
      </c>
      <c r="AF63" s="50">
        <v>31</v>
      </c>
      <c r="AG63" s="13"/>
      <c r="AH63" s="13" t="s">
        <v>215</v>
      </c>
      <c r="AI63" s="50">
        <v>0.17</v>
      </c>
      <c r="AJ63" s="14"/>
    </row>
    <row r="64" spans="1:36" ht="15.75">
      <c r="A64" s="21" t="s">
        <v>174</v>
      </c>
      <c r="B64" s="23" t="s">
        <v>152</v>
      </c>
      <c r="C64" s="39"/>
      <c r="D64" s="39"/>
      <c r="E64" s="39"/>
      <c r="F64" s="39"/>
      <c r="G64" s="39"/>
      <c r="H64" s="39">
        <f t="shared" si="21"/>
        <v>0.255000006</v>
      </c>
      <c r="I64" s="39"/>
      <c r="J64" s="39">
        <f>'Раздел 1'!E74</f>
        <v>0.255000006</v>
      </c>
      <c r="K64" s="39"/>
      <c r="L64" s="39"/>
      <c r="M64" s="39">
        <f t="shared" si="24"/>
        <v>0.255000006</v>
      </c>
      <c r="N64" s="39"/>
      <c r="O64" s="39">
        <f t="shared" si="25"/>
        <v>0.255000006</v>
      </c>
      <c r="P64" s="39"/>
      <c r="Q64" s="39"/>
      <c r="R64" s="39">
        <f t="shared" si="22"/>
        <v>0.255000006</v>
      </c>
      <c r="S64" s="39"/>
      <c r="T64" s="39">
        <f t="shared" si="23"/>
        <v>0.255000006</v>
      </c>
      <c r="U64" s="39"/>
      <c r="V64" s="39"/>
      <c r="W64" s="13"/>
      <c r="X64" s="13"/>
      <c r="Y64" s="13"/>
      <c r="Z64" s="13"/>
      <c r="AA64" s="13"/>
      <c r="AB64" s="13"/>
      <c r="AC64" s="13"/>
      <c r="AD64" s="13"/>
      <c r="AE64" s="13">
        <v>2014</v>
      </c>
      <c r="AF64" s="50">
        <v>31</v>
      </c>
      <c r="AG64" s="13"/>
      <c r="AH64" s="13" t="s">
        <v>223</v>
      </c>
      <c r="AI64" s="50">
        <v>0.1</v>
      </c>
      <c r="AJ64" s="14"/>
    </row>
    <row r="65" spans="1:36" ht="31.5">
      <c r="A65" s="21" t="s">
        <v>175</v>
      </c>
      <c r="B65" s="23" t="s">
        <v>166</v>
      </c>
      <c r="C65" s="39">
        <f t="shared" si="20"/>
        <v>0.22680425999999998</v>
      </c>
      <c r="D65" s="39"/>
      <c r="E65" s="39">
        <f>'Раздел 1'!D75</f>
        <v>0.22680425999999998</v>
      </c>
      <c r="F65" s="39"/>
      <c r="G65" s="39"/>
      <c r="H65" s="39">
        <f>I65+J65+K65+L65</f>
        <v>0.22680437800000003</v>
      </c>
      <c r="I65" s="39"/>
      <c r="J65" s="39">
        <f>'Раздел 1'!E75</f>
        <v>0.22680437800000003</v>
      </c>
      <c r="K65" s="39"/>
      <c r="L65" s="39"/>
      <c r="M65" s="39">
        <f t="shared" si="24"/>
        <v>1.1800000004891231E-07</v>
      </c>
      <c r="N65" s="39"/>
      <c r="O65" s="39">
        <f t="shared" si="25"/>
        <v>1.1800000004891231E-07</v>
      </c>
      <c r="P65" s="39"/>
      <c r="Q65" s="39"/>
      <c r="R65" s="39">
        <f t="shared" si="22"/>
        <v>0.22680437800000003</v>
      </c>
      <c r="S65" s="39"/>
      <c r="T65" s="39">
        <f>J65</f>
        <v>0.22680437800000003</v>
      </c>
      <c r="U65" s="39"/>
      <c r="V65" s="39"/>
      <c r="W65" s="13"/>
      <c r="X65" s="13"/>
      <c r="Y65" s="13"/>
      <c r="Z65" s="13"/>
      <c r="AA65" s="13"/>
      <c r="AB65" s="13"/>
      <c r="AC65" s="13"/>
      <c r="AD65" s="13"/>
      <c r="AE65" s="13">
        <v>2014</v>
      </c>
      <c r="AF65" s="51" t="s">
        <v>220</v>
      </c>
      <c r="AG65" s="13"/>
      <c r="AH65" s="52" t="s">
        <v>224</v>
      </c>
      <c r="AI65" s="51" t="s">
        <v>225</v>
      </c>
      <c r="AJ65" s="14"/>
    </row>
    <row r="66" spans="1:36" ht="25.5">
      <c r="A66" s="21" t="s">
        <v>188</v>
      </c>
      <c r="B66" s="23" t="s">
        <v>176</v>
      </c>
      <c r="C66" s="39">
        <f t="shared" si="20"/>
        <v>0.49133783999999997</v>
      </c>
      <c r="D66" s="39"/>
      <c r="E66" s="39">
        <f>'Раздел 1'!D76</f>
        <v>0.49133783999999997</v>
      </c>
      <c r="F66" s="39"/>
      <c r="G66" s="39"/>
      <c r="H66" s="39">
        <f>I66+J66+K66+L66</f>
        <v>0.49133400499999996</v>
      </c>
      <c r="I66" s="39"/>
      <c r="J66" s="39">
        <f>'Раздел 1'!E76</f>
        <v>0.49133400499999996</v>
      </c>
      <c r="K66" s="39"/>
      <c r="L66" s="39"/>
      <c r="M66" s="39">
        <f t="shared" si="24"/>
        <v>-3.835000000007582E-06</v>
      </c>
      <c r="N66" s="39"/>
      <c r="O66" s="39">
        <f t="shared" si="25"/>
        <v>-3.835000000007582E-06</v>
      </c>
      <c r="P66" s="39"/>
      <c r="Q66" s="39"/>
      <c r="R66" s="39">
        <f>S66+T66+U66+V66</f>
        <v>0.49133400499999996</v>
      </c>
      <c r="S66" s="39"/>
      <c r="T66" s="39">
        <f>J66</f>
        <v>0.49133400499999996</v>
      </c>
      <c r="U66" s="39"/>
      <c r="V66" s="39"/>
      <c r="W66" s="13"/>
      <c r="X66" s="13"/>
      <c r="Y66" s="13"/>
      <c r="Z66" s="13"/>
      <c r="AA66" s="13"/>
      <c r="AB66" s="13"/>
      <c r="AC66" s="13"/>
      <c r="AD66" s="13"/>
      <c r="AE66" s="13">
        <v>2014</v>
      </c>
      <c r="AF66" s="50">
        <v>31</v>
      </c>
      <c r="AG66" s="13"/>
      <c r="AH66" s="13" t="s">
        <v>215</v>
      </c>
      <c r="AI66" s="50">
        <v>0.161</v>
      </c>
      <c r="AJ66" s="14"/>
    </row>
    <row r="67" spans="1:36" ht="15.75">
      <c r="A67" s="21" t="s">
        <v>190</v>
      </c>
      <c r="B67" s="23" t="s">
        <v>167</v>
      </c>
      <c r="C67" s="39">
        <f t="shared" si="20"/>
        <v>0.22655999999999998</v>
      </c>
      <c r="D67" s="39"/>
      <c r="E67" s="39">
        <f>'Раздел 1'!D77</f>
        <v>0.22655999999999998</v>
      </c>
      <c r="F67" s="39"/>
      <c r="G67" s="39"/>
      <c r="H67" s="39">
        <f>I67+J67+K67+L67</f>
        <v>0.22835617239999997</v>
      </c>
      <c r="I67" s="39"/>
      <c r="J67" s="39">
        <f>'Раздел 1'!E77</f>
        <v>0.22835617239999997</v>
      </c>
      <c r="K67" s="39"/>
      <c r="L67" s="39"/>
      <c r="M67" s="39">
        <f t="shared" si="24"/>
        <v>0.0017961723999999901</v>
      </c>
      <c r="N67" s="39"/>
      <c r="O67" s="39">
        <f t="shared" si="25"/>
        <v>0.0017961723999999901</v>
      </c>
      <c r="P67" s="39"/>
      <c r="Q67" s="39"/>
      <c r="R67" s="39">
        <f>S67+T67+U67+V67</f>
        <v>0.22835617239999997</v>
      </c>
      <c r="S67" s="39"/>
      <c r="T67" s="39">
        <f>J67</f>
        <v>0.22835617239999997</v>
      </c>
      <c r="U67" s="39"/>
      <c r="V67" s="39"/>
      <c r="W67" s="13"/>
      <c r="X67" s="13"/>
      <c r="Y67" s="13"/>
      <c r="Z67" s="13"/>
      <c r="AA67" s="13"/>
      <c r="AB67" s="13"/>
      <c r="AC67" s="13"/>
      <c r="AD67" s="13"/>
      <c r="AE67" s="13">
        <v>2014</v>
      </c>
      <c r="AF67" s="50">
        <v>31</v>
      </c>
      <c r="AG67" s="13"/>
      <c r="AH67" s="13" t="s">
        <v>223</v>
      </c>
      <c r="AI67" s="50">
        <v>0.35</v>
      </c>
      <c r="AJ67" s="14"/>
    </row>
    <row r="68" spans="1:36" ht="15.75">
      <c r="A68" s="21" t="s">
        <v>191</v>
      </c>
      <c r="B68" s="23" t="s">
        <v>193</v>
      </c>
      <c r="C68" s="39"/>
      <c r="D68" s="39"/>
      <c r="E68" s="39"/>
      <c r="F68" s="39"/>
      <c r="G68" s="39"/>
      <c r="H68" s="39">
        <f aca="true" t="shared" si="26" ref="H68:H73">I68+J68+K68+L68</f>
        <v>0.02255806</v>
      </c>
      <c r="I68" s="39"/>
      <c r="J68" s="39">
        <f>'Раздел 1'!E78</f>
        <v>0.02255806</v>
      </c>
      <c r="K68" s="39"/>
      <c r="L68" s="39"/>
      <c r="M68" s="39">
        <f t="shared" si="24"/>
        <v>0.02255806</v>
      </c>
      <c r="N68" s="39"/>
      <c r="O68" s="39">
        <f t="shared" si="25"/>
        <v>0.02255806</v>
      </c>
      <c r="P68" s="39"/>
      <c r="Q68" s="39"/>
      <c r="R68" s="39">
        <f aca="true" t="shared" si="27" ref="R68:R73">S68+T68+U68+V68</f>
        <v>0.02255806</v>
      </c>
      <c r="S68" s="39"/>
      <c r="T68" s="39">
        <f aca="true" t="shared" si="28" ref="T68:T73">J68</f>
        <v>0.02255806</v>
      </c>
      <c r="U68" s="39"/>
      <c r="V68" s="39"/>
      <c r="W68" s="13"/>
      <c r="X68" s="13"/>
      <c r="Y68" s="13"/>
      <c r="Z68" s="13"/>
      <c r="AA68" s="13"/>
      <c r="AB68" s="13"/>
      <c r="AC68" s="13"/>
      <c r="AD68" s="13"/>
      <c r="AE68" s="13"/>
      <c r="AF68" s="50"/>
      <c r="AG68" s="13"/>
      <c r="AH68" s="13"/>
      <c r="AI68" s="50"/>
      <c r="AJ68" s="14"/>
    </row>
    <row r="69" spans="1:36" ht="15.75">
      <c r="A69" s="21" t="s">
        <v>192</v>
      </c>
      <c r="B69" s="23" t="s">
        <v>194</v>
      </c>
      <c r="C69" s="39"/>
      <c r="D69" s="39"/>
      <c r="E69" s="39"/>
      <c r="F69" s="39"/>
      <c r="G69" s="39"/>
      <c r="H69" s="39">
        <f t="shared" si="26"/>
        <v>0.02255806</v>
      </c>
      <c r="I69" s="39"/>
      <c r="J69" s="39">
        <f>'Раздел 1'!E79</f>
        <v>0.02255806</v>
      </c>
      <c r="K69" s="39"/>
      <c r="L69" s="39"/>
      <c r="M69" s="39">
        <f t="shared" si="24"/>
        <v>0.02255806</v>
      </c>
      <c r="N69" s="39"/>
      <c r="O69" s="39">
        <f t="shared" si="25"/>
        <v>0.02255806</v>
      </c>
      <c r="P69" s="39"/>
      <c r="Q69" s="39"/>
      <c r="R69" s="39">
        <f t="shared" si="27"/>
        <v>0.02255806</v>
      </c>
      <c r="S69" s="39"/>
      <c r="T69" s="39">
        <f t="shared" si="28"/>
        <v>0.02255806</v>
      </c>
      <c r="U69" s="39"/>
      <c r="V69" s="39"/>
      <c r="W69" s="13"/>
      <c r="X69" s="13"/>
      <c r="Y69" s="13"/>
      <c r="Z69" s="13"/>
      <c r="AA69" s="13"/>
      <c r="AB69" s="13"/>
      <c r="AC69" s="13"/>
      <c r="AD69" s="13"/>
      <c r="AE69" s="13"/>
      <c r="AF69" s="50"/>
      <c r="AG69" s="13"/>
      <c r="AH69" s="13"/>
      <c r="AI69" s="50"/>
      <c r="AJ69" s="14"/>
    </row>
    <row r="70" spans="1:36" ht="15.75">
      <c r="A70" s="21" t="s">
        <v>207</v>
      </c>
      <c r="B70" s="23" t="s">
        <v>195</v>
      </c>
      <c r="C70" s="39"/>
      <c r="D70" s="39"/>
      <c r="E70" s="39"/>
      <c r="F70" s="39"/>
      <c r="G70" s="39"/>
      <c r="H70" s="39">
        <f t="shared" si="26"/>
        <v>0.02255806</v>
      </c>
      <c r="I70" s="39"/>
      <c r="J70" s="39">
        <f>'Раздел 1'!E80</f>
        <v>0.02255806</v>
      </c>
      <c r="K70" s="39"/>
      <c r="L70" s="39"/>
      <c r="M70" s="39">
        <f t="shared" si="24"/>
        <v>0.02255806</v>
      </c>
      <c r="N70" s="39"/>
      <c r="O70" s="39">
        <f t="shared" si="25"/>
        <v>0.02255806</v>
      </c>
      <c r="P70" s="39"/>
      <c r="Q70" s="39"/>
      <c r="R70" s="39">
        <f t="shared" si="27"/>
        <v>0.02255806</v>
      </c>
      <c r="S70" s="39"/>
      <c r="T70" s="39">
        <f t="shared" si="28"/>
        <v>0.02255806</v>
      </c>
      <c r="U70" s="39"/>
      <c r="V70" s="39"/>
      <c r="W70" s="13"/>
      <c r="X70" s="13"/>
      <c r="Y70" s="13"/>
      <c r="Z70" s="13"/>
      <c r="AA70" s="13"/>
      <c r="AB70" s="13"/>
      <c r="AC70" s="13"/>
      <c r="AD70" s="13"/>
      <c r="AE70" s="13"/>
      <c r="AF70" s="50"/>
      <c r="AG70" s="13"/>
      <c r="AH70" s="13"/>
      <c r="AI70" s="50"/>
      <c r="AJ70" s="14"/>
    </row>
    <row r="71" spans="1:36" ht="15.75">
      <c r="A71" s="21" t="s">
        <v>208</v>
      </c>
      <c r="B71" s="23" t="s">
        <v>196</v>
      </c>
      <c r="C71" s="39"/>
      <c r="D71" s="39"/>
      <c r="E71" s="39"/>
      <c r="F71" s="39"/>
      <c r="G71" s="39"/>
      <c r="H71" s="39">
        <f t="shared" si="26"/>
        <v>0.02255806</v>
      </c>
      <c r="I71" s="39"/>
      <c r="J71" s="39">
        <f>'Раздел 1'!E81</f>
        <v>0.02255806</v>
      </c>
      <c r="K71" s="39"/>
      <c r="L71" s="39"/>
      <c r="M71" s="39">
        <f t="shared" si="24"/>
        <v>0.02255806</v>
      </c>
      <c r="N71" s="39"/>
      <c r="O71" s="39">
        <f t="shared" si="25"/>
        <v>0.02255806</v>
      </c>
      <c r="P71" s="39"/>
      <c r="Q71" s="39"/>
      <c r="R71" s="39">
        <f t="shared" si="27"/>
        <v>0.02255806</v>
      </c>
      <c r="S71" s="39"/>
      <c r="T71" s="39">
        <f t="shared" si="28"/>
        <v>0.02255806</v>
      </c>
      <c r="U71" s="39"/>
      <c r="V71" s="39"/>
      <c r="W71" s="13"/>
      <c r="X71" s="13"/>
      <c r="Y71" s="13"/>
      <c r="Z71" s="13"/>
      <c r="AA71" s="13"/>
      <c r="AB71" s="13"/>
      <c r="AC71" s="13"/>
      <c r="AD71" s="13"/>
      <c r="AE71" s="13"/>
      <c r="AF71" s="50"/>
      <c r="AG71" s="13"/>
      <c r="AH71" s="13"/>
      <c r="AI71" s="50"/>
      <c r="AJ71" s="14"/>
    </row>
    <row r="72" spans="1:36" ht="15.75">
      <c r="A72" s="21" t="s">
        <v>209</v>
      </c>
      <c r="B72" s="23" t="s">
        <v>197</v>
      </c>
      <c r="C72" s="39"/>
      <c r="D72" s="39"/>
      <c r="E72" s="39"/>
      <c r="F72" s="39"/>
      <c r="G72" s="39"/>
      <c r="H72" s="39">
        <f t="shared" si="26"/>
        <v>0.06021894</v>
      </c>
      <c r="I72" s="39"/>
      <c r="J72" s="39">
        <f>'Раздел 1'!E82</f>
        <v>0.06021894</v>
      </c>
      <c r="K72" s="39"/>
      <c r="L72" s="39"/>
      <c r="M72" s="39">
        <f t="shared" si="24"/>
        <v>0.06021894</v>
      </c>
      <c r="N72" s="39"/>
      <c r="O72" s="39">
        <f t="shared" si="25"/>
        <v>0.06021894</v>
      </c>
      <c r="P72" s="39"/>
      <c r="Q72" s="39"/>
      <c r="R72" s="39">
        <f t="shared" si="27"/>
        <v>0.06021894</v>
      </c>
      <c r="S72" s="39"/>
      <c r="T72" s="39">
        <f t="shared" si="28"/>
        <v>0.06021894</v>
      </c>
      <c r="U72" s="39"/>
      <c r="V72" s="39"/>
      <c r="W72" s="13"/>
      <c r="X72" s="13"/>
      <c r="Y72" s="13"/>
      <c r="Z72" s="13"/>
      <c r="AA72" s="13"/>
      <c r="AB72" s="13"/>
      <c r="AC72" s="13"/>
      <c r="AD72" s="13"/>
      <c r="AE72" s="13">
        <v>2014</v>
      </c>
      <c r="AF72" s="50">
        <v>31</v>
      </c>
      <c r="AG72" s="13"/>
      <c r="AH72" s="13" t="s">
        <v>223</v>
      </c>
      <c r="AI72" s="50">
        <v>0.03</v>
      </c>
      <c r="AJ72" s="14"/>
    </row>
    <row r="73" spans="1:36" ht="15.75">
      <c r="A73" s="21" t="s">
        <v>210</v>
      </c>
      <c r="B73" s="23" t="s">
        <v>198</v>
      </c>
      <c r="C73" s="39"/>
      <c r="D73" s="39"/>
      <c r="E73" s="39"/>
      <c r="F73" s="39"/>
      <c r="G73" s="39"/>
      <c r="H73" s="39">
        <f t="shared" si="26"/>
        <v>0.0691673756</v>
      </c>
      <c r="I73" s="39"/>
      <c r="J73" s="39">
        <f>'Раздел 1'!E83</f>
        <v>0.0691673756</v>
      </c>
      <c r="K73" s="39"/>
      <c r="L73" s="39"/>
      <c r="M73" s="39">
        <f t="shared" si="24"/>
        <v>0.0691673756</v>
      </c>
      <c r="N73" s="39"/>
      <c r="O73" s="39">
        <f t="shared" si="25"/>
        <v>0.0691673756</v>
      </c>
      <c r="P73" s="39"/>
      <c r="Q73" s="39"/>
      <c r="R73" s="39">
        <f t="shared" si="27"/>
        <v>0.0691673756</v>
      </c>
      <c r="S73" s="39"/>
      <c r="T73" s="39">
        <f t="shared" si="28"/>
        <v>0.0691673756</v>
      </c>
      <c r="U73" s="39"/>
      <c r="V73" s="39"/>
      <c r="W73" s="13"/>
      <c r="X73" s="13"/>
      <c r="Y73" s="13"/>
      <c r="Z73" s="13"/>
      <c r="AA73" s="13"/>
      <c r="AB73" s="13"/>
      <c r="AC73" s="13"/>
      <c r="AD73" s="13"/>
      <c r="AE73" s="13">
        <v>2014</v>
      </c>
      <c r="AF73" s="50">
        <v>31</v>
      </c>
      <c r="AG73" s="13"/>
      <c r="AH73" s="13" t="s">
        <v>223</v>
      </c>
      <c r="AI73" s="50">
        <v>0.05</v>
      </c>
      <c r="AJ73" s="14"/>
    </row>
    <row r="74" spans="1:36" s="8" customFormat="1" ht="15.75">
      <c r="A74" s="34" t="s">
        <v>96</v>
      </c>
      <c r="B74" s="22" t="s">
        <v>1</v>
      </c>
      <c r="C74" s="38">
        <f>C76+C75+C77+C78+C79</f>
        <v>8.820088179999999</v>
      </c>
      <c r="D74" s="38"/>
      <c r="E74" s="38">
        <f>E76+E75+E77+E78+E79</f>
        <v>7.99408818</v>
      </c>
      <c r="F74" s="38">
        <f>F76</f>
        <v>0.826</v>
      </c>
      <c r="G74" s="38"/>
      <c r="H74" s="38">
        <f>SUM(H75:H79)</f>
        <v>24.186720343399998</v>
      </c>
      <c r="I74" s="38"/>
      <c r="J74" s="38">
        <f aca="true" t="shared" si="29" ref="J74:U74">SUM(J75:J79)</f>
        <v>15.573029503399999</v>
      </c>
      <c r="K74" s="38">
        <f t="shared" si="29"/>
        <v>8.61369084</v>
      </c>
      <c r="L74" s="38"/>
      <c r="M74" s="38">
        <f t="shared" si="29"/>
        <v>15.3666321634</v>
      </c>
      <c r="N74" s="38"/>
      <c r="O74" s="38">
        <f t="shared" si="29"/>
        <v>7.5789413234</v>
      </c>
      <c r="P74" s="38">
        <f t="shared" si="29"/>
        <v>7.787690840000001</v>
      </c>
      <c r="Q74" s="38"/>
      <c r="R74" s="38">
        <f t="shared" si="29"/>
        <v>24.186720343399998</v>
      </c>
      <c r="S74" s="38"/>
      <c r="T74" s="38">
        <f t="shared" si="29"/>
        <v>15.573029503399999</v>
      </c>
      <c r="U74" s="38">
        <f t="shared" si="29"/>
        <v>8.61369084</v>
      </c>
      <c r="V74" s="38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2"/>
    </row>
    <row r="75" spans="1:36" ht="25.5">
      <c r="A75" s="21" t="s">
        <v>61</v>
      </c>
      <c r="B75" s="20" t="s">
        <v>70</v>
      </c>
      <c r="C75" s="39">
        <f>E75+F75</f>
        <v>0.62776</v>
      </c>
      <c r="D75" s="39"/>
      <c r="E75" s="39">
        <f>'Раздел 1'!D85</f>
        <v>0.62776</v>
      </c>
      <c r="F75" s="39"/>
      <c r="G75" s="39"/>
      <c r="H75" s="39">
        <f>I75+J75+K75+L75</f>
        <v>0.7896333794</v>
      </c>
      <c r="I75" s="39"/>
      <c r="J75" s="39">
        <f>'Раздел 1'!E85</f>
        <v>0.7896333794</v>
      </c>
      <c r="K75" s="39"/>
      <c r="L75" s="39"/>
      <c r="M75" s="39">
        <f>N75+O75+P75+Q75</f>
        <v>0.16187337940000002</v>
      </c>
      <c r="N75" s="39"/>
      <c r="O75" s="39">
        <f>J75-E75</f>
        <v>0.16187337940000002</v>
      </c>
      <c r="P75" s="39"/>
      <c r="Q75" s="39"/>
      <c r="R75" s="39">
        <f>S75+T75+U75+V75</f>
        <v>0.7896333794</v>
      </c>
      <c r="S75" s="39"/>
      <c r="T75" s="39">
        <f>J75</f>
        <v>0.7896333794</v>
      </c>
      <c r="U75" s="39"/>
      <c r="V75" s="39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4"/>
    </row>
    <row r="76" spans="1:36" ht="38.25">
      <c r="A76" s="21" t="s">
        <v>62</v>
      </c>
      <c r="B76" s="23" t="s">
        <v>80</v>
      </c>
      <c r="C76" s="39">
        <f>E76+F76</f>
        <v>0.826</v>
      </c>
      <c r="D76" s="39"/>
      <c r="E76" s="39"/>
      <c r="F76" s="39">
        <f>'Раздел 1'!D86</f>
        <v>0.826</v>
      </c>
      <c r="G76" s="39"/>
      <c r="H76" s="39">
        <f>I76+J76+K76+L76</f>
        <v>1.8658967945999998</v>
      </c>
      <c r="I76" s="39"/>
      <c r="J76" s="39"/>
      <c r="K76" s="39">
        <f>'Раздел 1'!E86</f>
        <v>1.8658967945999998</v>
      </c>
      <c r="L76" s="39"/>
      <c r="M76" s="39">
        <f>N76+O76+P76+Q76</f>
        <v>1.0398967945999997</v>
      </c>
      <c r="N76" s="39"/>
      <c r="O76" s="39">
        <f aca="true" t="shared" si="30" ref="O76:O84">J76-E76</f>
        <v>0</v>
      </c>
      <c r="P76" s="39">
        <f>K76-F76</f>
        <v>1.0398967945999997</v>
      </c>
      <c r="Q76" s="39"/>
      <c r="R76" s="39">
        <f>S76+T76+U76+V76</f>
        <v>1.8658967945999998</v>
      </c>
      <c r="S76" s="39"/>
      <c r="T76" s="39">
        <f>J76</f>
        <v>0</v>
      </c>
      <c r="U76" s="39">
        <f>K76</f>
        <v>1.8658967945999998</v>
      </c>
      <c r="V76" s="39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4"/>
    </row>
    <row r="77" spans="1:36" ht="15.75">
      <c r="A77" s="21" t="s">
        <v>63</v>
      </c>
      <c r="B77" s="23" t="s">
        <v>135</v>
      </c>
      <c r="C77" s="39">
        <f>E77</f>
        <v>0.28632818</v>
      </c>
      <c r="D77" s="39"/>
      <c r="E77" s="39">
        <f>'Раздел 1'!D87</f>
        <v>0.28632818</v>
      </c>
      <c r="F77" s="39"/>
      <c r="G77" s="39"/>
      <c r="H77" s="39">
        <f>I77+J77+K77+L77</f>
        <v>0.28632865199999996</v>
      </c>
      <c r="I77" s="39"/>
      <c r="J77" s="39">
        <f>'Раздел 1'!E87</f>
        <v>0.28632865199999996</v>
      </c>
      <c r="K77" s="39"/>
      <c r="L77" s="39"/>
      <c r="M77" s="39">
        <f>N77+O77+P77+Q77</f>
        <v>4.7199999997360464E-07</v>
      </c>
      <c r="N77" s="39"/>
      <c r="O77" s="39">
        <f t="shared" si="30"/>
        <v>4.7199999997360464E-07</v>
      </c>
      <c r="P77" s="39"/>
      <c r="Q77" s="39"/>
      <c r="R77" s="39">
        <f>S77+T77+U77+V77</f>
        <v>0.28632865199999996</v>
      </c>
      <c r="S77" s="39"/>
      <c r="T77" s="39">
        <f>J77</f>
        <v>0.28632865199999996</v>
      </c>
      <c r="U77" s="39"/>
      <c r="V77" s="39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4"/>
    </row>
    <row r="78" spans="1:36" ht="25.5">
      <c r="A78" s="21" t="s">
        <v>178</v>
      </c>
      <c r="B78" s="23" t="s">
        <v>180</v>
      </c>
      <c r="C78" s="39">
        <f>E78</f>
        <v>7.08</v>
      </c>
      <c r="D78" s="39"/>
      <c r="E78" s="39">
        <f>'Раздел 1'!D88</f>
        <v>7.08</v>
      </c>
      <c r="F78" s="39"/>
      <c r="G78" s="39"/>
      <c r="H78" s="39">
        <f>I78+J78+K78+L78</f>
        <v>14.497067472</v>
      </c>
      <c r="I78" s="39"/>
      <c r="J78" s="39">
        <f>'Раздел 1'!E88</f>
        <v>14.497067472</v>
      </c>
      <c r="K78" s="39"/>
      <c r="L78" s="39"/>
      <c r="M78" s="39">
        <f>N78+O78+P78+Q78</f>
        <v>7.417067471999999</v>
      </c>
      <c r="N78" s="39"/>
      <c r="O78" s="39">
        <f t="shared" si="30"/>
        <v>7.417067471999999</v>
      </c>
      <c r="P78" s="39"/>
      <c r="Q78" s="39"/>
      <c r="R78" s="39">
        <f>S78+T78+U78+V78</f>
        <v>14.497067472</v>
      </c>
      <c r="S78" s="39"/>
      <c r="T78" s="39">
        <f>J78</f>
        <v>14.497067472</v>
      </c>
      <c r="U78" s="39"/>
      <c r="V78" s="39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4"/>
    </row>
    <row r="79" spans="1:36" ht="15.75">
      <c r="A79" s="21" t="s">
        <v>179</v>
      </c>
      <c r="B79" s="23" t="s">
        <v>163</v>
      </c>
      <c r="C79" s="39"/>
      <c r="D79" s="39"/>
      <c r="E79" s="39"/>
      <c r="F79" s="39"/>
      <c r="G79" s="39"/>
      <c r="H79" s="39">
        <f>K79</f>
        <v>6.747794045400001</v>
      </c>
      <c r="I79" s="39"/>
      <c r="J79" s="39"/>
      <c r="K79" s="39">
        <f>'Раздел 1'!E89</f>
        <v>6.747794045400001</v>
      </c>
      <c r="L79" s="39"/>
      <c r="M79" s="39">
        <f>N79+O79+P79+Q79</f>
        <v>6.747794045400001</v>
      </c>
      <c r="N79" s="39"/>
      <c r="O79" s="39"/>
      <c r="P79" s="39">
        <f>K79-F79</f>
        <v>6.747794045400001</v>
      </c>
      <c r="Q79" s="39"/>
      <c r="R79" s="39">
        <f>S79+T79+U79+V79</f>
        <v>6.747794045400001</v>
      </c>
      <c r="S79" s="39"/>
      <c r="T79" s="39"/>
      <c r="U79" s="39">
        <f>K79</f>
        <v>6.747794045400001</v>
      </c>
      <c r="V79" s="39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4"/>
    </row>
    <row r="80" spans="1:36" s="8" customFormat="1" ht="15.75">
      <c r="A80" s="30" t="s">
        <v>97</v>
      </c>
      <c r="B80" s="27" t="s">
        <v>69</v>
      </c>
      <c r="C80" s="38">
        <f>C81+C82+C83+C84</f>
        <v>20.97136474</v>
      </c>
      <c r="D80" s="38"/>
      <c r="E80" s="38">
        <f>E81+E82+E83+E84</f>
        <v>0</v>
      </c>
      <c r="F80" s="38">
        <f>F81+F82+F83+F84</f>
        <v>0</v>
      </c>
      <c r="G80" s="38">
        <f>G81+G82+G83+G84</f>
        <v>20.97136474</v>
      </c>
      <c r="H80" s="38">
        <f>H81+H82+H83+H84</f>
        <v>20.473262951199985</v>
      </c>
      <c r="I80" s="38"/>
      <c r="J80" s="38">
        <f>J81+J82+J83+J84</f>
        <v>0</v>
      </c>
      <c r="K80" s="38">
        <f>K81+K82+K83+K84</f>
        <v>0</v>
      </c>
      <c r="L80" s="38">
        <f>L81+L82+L83+L84</f>
        <v>20.473262951199985</v>
      </c>
      <c r="M80" s="38">
        <f>M81+M82+M83+M84</f>
        <v>-0.31942600000000354</v>
      </c>
      <c r="N80" s="38"/>
      <c r="O80" s="38">
        <f aca="true" t="shared" si="31" ref="O80:V80">O81+O82+O83+O84</f>
        <v>0</v>
      </c>
      <c r="P80" s="38">
        <f t="shared" si="31"/>
        <v>0</v>
      </c>
      <c r="Q80" s="38">
        <f t="shared" si="31"/>
        <v>-0.31942600000000354</v>
      </c>
      <c r="R80" s="38">
        <f t="shared" si="31"/>
        <v>16.200573999999996</v>
      </c>
      <c r="S80" s="38">
        <f t="shared" si="31"/>
        <v>0</v>
      </c>
      <c r="T80" s="38">
        <f t="shared" si="31"/>
        <v>0</v>
      </c>
      <c r="U80" s="38">
        <f t="shared" si="31"/>
        <v>0</v>
      </c>
      <c r="V80" s="38">
        <f t="shared" si="31"/>
        <v>16.200573999999996</v>
      </c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2"/>
    </row>
    <row r="81" spans="1:36" ht="15.75">
      <c r="A81" s="21" t="s">
        <v>71</v>
      </c>
      <c r="B81" s="32" t="s">
        <v>78</v>
      </c>
      <c r="C81" s="39">
        <f>E81+F81+G81</f>
        <v>0.88854</v>
      </c>
      <c r="D81" s="39"/>
      <c r="E81" s="39"/>
      <c r="F81" s="39"/>
      <c r="G81" s="39">
        <f>'Раздел 1'!D91</f>
        <v>0.88854</v>
      </c>
      <c r="H81" s="39">
        <f aca="true" t="shared" si="32" ref="H81:H86">I81+J81+K81+L81</f>
        <v>0.7074307325999999</v>
      </c>
      <c r="I81" s="39"/>
      <c r="J81" s="39"/>
      <c r="K81" s="39"/>
      <c r="L81" s="39">
        <f>'Раздел 1'!E91</f>
        <v>0.7074307325999999</v>
      </c>
      <c r="M81" s="39">
        <f aca="true" t="shared" si="33" ref="M81:M86">N81+O81+P81+Q81</f>
        <v>0</v>
      </c>
      <c r="N81" s="39"/>
      <c r="O81" s="39">
        <f t="shared" si="30"/>
        <v>0</v>
      </c>
      <c r="P81" s="39"/>
      <c r="Q81" s="39"/>
      <c r="R81" s="39">
        <f aca="true" t="shared" si="34" ref="R81:R86">S81+T81+U81+V81</f>
        <v>0</v>
      </c>
      <c r="S81" s="45"/>
      <c r="T81" s="39">
        <f aca="true" t="shared" si="35" ref="T81:T86">J81</f>
        <v>0</v>
      </c>
      <c r="U81" s="39"/>
      <c r="V81" s="45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4"/>
    </row>
    <row r="82" spans="1:36" ht="15.75">
      <c r="A82" s="21" t="s">
        <v>72</v>
      </c>
      <c r="B82" s="32" t="s">
        <v>79</v>
      </c>
      <c r="C82" s="39">
        <f>E82+F82+G82</f>
        <v>1.02982494</v>
      </c>
      <c r="D82" s="39"/>
      <c r="E82" s="39"/>
      <c r="F82" s="39"/>
      <c r="G82" s="39">
        <f>'Раздел 1'!D92</f>
        <v>1.02982494</v>
      </c>
      <c r="H82" s="39">
        <f t="shared" si="32"/>
        <v>1.0298274888</v>
      </c>
      <c r="I82" s="39"/>
      <c r="J82" s="39"/>
      <c r="K82" s="39"/>
      <c r="L82" s="39">
        <f>'Раздел 1'!E92</f>
        <v>1.0298274888</v>
      </c>
      <c r="M82" s="39">
        <f t="shared" si="33"/>
        <v>0</v>
      </c>
      <c r="N82" s="39"/>
      <c r="O82" s="39">
        <f t="shared" si="30"/>
        <v>0</v>
      </c>
      <c r="P82" s="39"/>
      <c r="Q82" s="39"/>
      <c r="R82" s="39">
        <f t="shared" si="34"/>
        <v>0</v>
      </c>
      <c r="S82" s="45"/>
      <c r="T82" s="39">
        <f t="shared" si="35"/>
        <v>0</v>
      </c>
      <c r="U82" s="39"/>
      <c r="V82" s="45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4"/>
    </row>
    <row r="83" spans="1:36" ht="15.75">
      <c r="A83" s="21" t="s">
        <v>73</v>
      </c>
      <c r="B83" s="29" t="s">
        <v>126</v>
      </c>
      <c r="C83" s="39">
        <f>E83+F83+G83</f>
        <v>2.5329998</v>
      </c>
      <c r="D83" s="39"/>
      <c r="E83" s="39"/>
      <c r="F83" s="39"/>
      <c r="G83" s="39">
        <f>'Раздел 1'!D93</f>
        <v>2.5329998</v>
      </c>
      <c r="H83" s="39">
        <f t="shared" si="32"/>
        <v>2.5354307297999883</v>
      </c>
      <c r="I83" s="39"/>
      <c r="J83" s="39"/>
      <c r="K83" s="39"/>
      <c r="L83" s="39">
        <f>'Раздел 1'!E93</f>
        <v>2.5354307297999883</v>
      </c>
      <c r="M83" s="39">
        <f t="shared" si="33"/>
        <v>0</v>
      </c>
      <c r="N83" s="39"/>
      <c r="O83" s="39">
        <f t="shared" si="30"/>
        <v>0</v>
      </c>
      <c r="P83" s="39"/>
      <c r="Q83" s="39"/>
      <c r="R83" s="39">
        <f t="shared" si="34"/>
        <v>0</v>
      </c>
      <c r="S83" s="45"/>
      <c r="T83" s="39">
        <f t="shared" si="35"/>
        <v>0</v>
      </c>
      <c r="U83" s="39"/>
      <c r="V83" s="45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4"/>
    </row>
    <row r="84" spans="1:36" ht="25.5">
      <c r="A84" s="21" t="s">
        <v>182</v>
      </c>
      <c r="B84" s="20" t="s">
        <v>183</v>
      </c>
      <c r="C84" s="39">
        <f>E84+F84+G84</f>
        <v>16.52</v>
      </c>
      <c r="D84" s="39"/>
      <c r="E84" s="39"/>
      <c r="F84" s="39"/>
      <c r="G84" s="39">
        <f>'Раздел 1'!D94</f>
        <v>16.52</v>
      </c>
      <c r="H84" s="39">
        <f t="shared" si="32"/>
        <v>16.200573999999996</v>
      </c>
      <c r="I84" s="39"/>
      <c r="J84" s="39"/>
      <c r="K84" s="39"/>
      <c r="L84" s="39">
        <f>'Раздел 1'!E94</f>
        <v>16.200573999999996</v>
      </c>
      <c r="M84" s="39">
        <f t="shared" si="33"/>
        <v>-0.31942600000000354</v>
      </c>
      <c r="N84" s="39"/>
      <c r="O84" s="39">
        <f t="shared" si="30"/>
        <v>0</v>
      </c>
      <c r="P84" s="39"/>
      <c r="Q84" s="39">
        <f>L84-G84</f>
        <v>-0.31942600000000354</v>
      </c>
      <c r="R84" s="39">
        <f t="shared" si="34"/>
        <v>16.200573999999996</v>
      </c>
      <c r="S84" s="45"/>
      <c r="T84" s="39">
        <f t="shared" si="35"/>
        <v>0</v>
      </c>
      <c r="U84" s="39"/>
      <c r="V84" s="39">
        <f>L84</f>
        <v>16.200573999999996</v>
      </c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4"/>
    </row>
    <row r="85" spans="1:36" ht="64.5">
      <c r="A85" s="30" t="s">
        <v>98</v>
      </c>
      <c r="B85" s="31" t="s">
        <v>91</v>
      </c>
      <c r="C85" s="38">
        <f>D85+E85+F85+G85</f>
        <v>11.47196</v>
      </c>
      <c r="D85" s="39"/>
      <c r="E85" s="38">
        <f>'Раздел 1'!D95</f>
        <v>11.47196</v>
      </c>
      <c r="F85" s="39"/>
      <c r="G85" s="39"/>
      <c r="H85" s="38">
        <f t="shared" si="32"/>
        <v>13.1778636508</v>
      </c>
      <c r="I85" s="38"/>
      <c r="J85" s="38">
        <f>'Раздел 1'!E95</f>
        <v>13.1778636508</v>
      </c>
      <c r="K85" s="38"/>
      <c r="L85" s="38"/>
      <c r="M85" s="38">
        <f t="shared" si="33"/>
        <v>1.7059036508000016</v>
      </c>
      <c r="N85" s="38"/>
      <c r="O85" s="38">
        <f>J85-E85</f>
        <v>1.7059036508000016</v>
      </c>
      <c r="P85" s="38"/>
      <c r="Q85" s="38"/>
      <c r="R85" s="38">
        <f t="shared" si="34"/>
        <v>13.1778636508</v>
      </c>
      <c r="S85" s="45"/>
      <c r="T85" s="38">
        <f t="shared" si="35"/>
        <v>13.1778636508</v>
      </c>
      <c r="U85" s="45"/>
      <c r="V85" s="45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4"/>
    </row>
    <row r="86" spans="1:36" ht="64.5">
      <c r="A86" s="30" t="s">
        <v>108</v>
      </c>
      <c r="B86" s="31" t="s">
        <v>151</v>
      </c>
      <c r="C86" s="38"/>
      <c r="D86" s="39"/>
      <c r="E86" s="39"/>
      <c r="F86" s="39"/>
      <c r="G86" s="39"/>
      <c r="H86" s="38">
        <f t="shared" si="32"/>
        <v>17.5804672154</v>
      </c>
      <c r="I86" s="38"/>
      <c r="J86" s="38">
        <f>'Раздел 1'!E96</f>
        <v>17.5804672154</v>
      </c>
      <c r="K86" s="38"/>
      <c r="L86" s="38"/>
      <c r="M86" s="38">
        <f t="shared" si="33"/>
        <v>17.5804672154</v>
      </c>
      <c r="N86" s="38"/>
      <c r="O86" s="38">
        <f>J86-E86</f>
        <v>17.5804672154</v>
      </c>
      <c r="P86" s="38"/>
      <c r="Q86" s="38"/>
      <c r="R86" s="38">
        <f t="shared" si="34"/>
        <v>17.5804672154</v>
      </c>
      <c r="S86" s="45"/>
      <c r="T86" s="38">
        <f t="shared" si="35"/>
        <v>17.5804672154</v>
      </c>
      <c r="U86" s="45"/>
      <c r="V86" s="45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4"/>
    </row>
    <row r="88" spans="1:36" ht="31.5">
      <c r="A88" s="21" t="s">
        <v>199</v>
      </c>
      <c r="B88" s="20" t="s">
        <v>153</v>
      </c>
      <c r="C88" s="39"/>
      <c r="D88" s="39"/>
      <c r="E88" s="39"/>
      <c r="F88" s="39"/>
      <c r="G88" s="39"/>
      <c r="H88" s="39">
        <f>I88+J88+K88+L88</f>
        <v>0.03917085519999999</v>
      </c>
      <c r="I88" s="38"/>
      <c r="J88" s="39">
        <f>'Раздел 1'!E98</f>
        <v>0.03917085519999999</v>
      </c>
      <c r="K88" s="38"/>
      <c r="L88" s="38"/>
      <c r="M88" s="39">
        <f>N88+O88+P88+Q88</f>
        <v>0.03917085519999999</v>
      </c>
      <c r="N88" s="38"/>
      <c r="O88" s="39">
        <f>J88-E88</f>
        <v>0.03917085519999999</v>
      </c>
      <c r="P88" s="38"/>
      <c r="Q88" s="38"/>
      <c r="R88" s="39">
        <f>S88+T88+U88+V88</f>
        <v>0.03917085519999999</v>
      </c>
      <c r="S88" s="45"/>
      <c r="T88" s="39">
        <f>J88</f>
        <v>0.03917085519999999</v>
      </c>
      <c r="U88" s="45"/>
      <c r="V88" s="45"/>
      <c r="W88" s="13"/>
      <c r="X88" s="13"/>
      <c r="Y88" s="13"/>
      <c r="Z88" s="13"/>
      <c r="AA88" s="13"/>
      <c r="AB88" s="13"/>
      <c r="AC88" s="13"/>
      <c r="AD88" s="13"/>
      <c r="AE88" s="57">
        <v>2014</v>
      </c>
      <c r="AF88" s="53" t="s">
        <v>226</v>
      </c>
      <c r="AG88" s="13"/>
      <c r="AH88" s="52" t="s">
        <v>227</v>
      </c>
      <c r="AI88" s="51" t="s">
        <v>228</v>
      </c>
      <c r="AJ88" s="14"/>
    </row>
    <row r="89" spans="1:36" ht="25.5">
      <c r="A89" s="21" t="s">
        <v>200</v>
      </c>
      <c r="B89" s="20" t="s">
        <v>154</v>
      </c>
      <c r="C89" s="39"/>
      <c r="D89" s="39"/>
      <c r="E89" s="39"/>
      <c r="F89" s="39"/>
      <c r="G89" s="39"/>
      <c r="H89" s="39">
        <f>I89+J89+K89+L89</f>
        <v>0.0369704856</v>
      </c>
      <c r="I89" s="38"/>
      <c r="J89" s="39">
        <f>'Раздел 1'!E99</f>
        <v>0.0369704856</v>
      </c>
      <c r="K89" s="38"/>
      <c r="L89" s="38"/>
      <c r="M89" s="39">
        <f>N89+O89+P89+Q89</f>
        <v>0.0369704856</v>
      </c>
      <c r="N89" s="38"/>
      <c r="O89" s="39">
        <f>J89-E89</f>
        <v>0.0369704856</v>
      </c>
      <c r="P89" s="38"/>
      <c r="Q89" s="38"/>
      <c r="R89" s="39">
        <f>S89+T89+U89+V89</f>
        <v>0.0369704856</v>
      </c>
      <c r="S89" s="45"/>
      <c r="T89" s="39">
        <f>J89</f>
        <v>0.0369704856</v>
      </c>
      <c r="U89" s="45"/>
      <c r="V89" s="45"/>
      <c r="W89" s="13"/>
      <c r="X89" s="13"/>
      <c r="Y89" s="13"/>
      <c r="Z89" s="13"/>
      <c r="AA89" s="13"/>
      <c r="AB89" s="13"/>
      <c r="AC89" s="13"/>
      <c r="AD89" s="13"/>
      <c r="AE89" s="57">
        <v>2014</v>
      </c>
      <c r="AF89" s="58">
        <v>15</v>
      </c>
      <c r="AG89" s="57"/>
      <c r="AH89" s="57" t="s">
        <v>229</v>
      </c>
      <c r="AI89" s="58">
        <v>0.065</v>
      </c>
      <c r="AJ89" s="14"/>
    </row>
    <row r="90" spans="1:36" ht="15.75">
      <c r="A90" s="21" t="s">
        <v>201</v>
      </c>
      <c r="B90" s="20" t="s">
        <v>165</v>
      </c>
      <c r="C90" s="39"/>
      <c r="D90" s="39"/>
      <c r="E90" s="39"/>
      <c r="F90" s="39"/>
      <c r="G90" s="39"/>
      <c r="H90" s="39">
        <f>I90+J90+K90+L90</f>
        <v>0.2436101858</v>
      </c>
      <c r="I90" s="38"/>
      <c r="J90" s="39">
        <f>'Раздел 1'!E100</f>
        <v>0.2436101858</v>
      </c>
      <c r="K90" s="38"/>
      <c r="L90" s="38"/>
      <c r="M90" s="39">
        <f>N90+O90+P90+Q90</f>
        <v>0.2436101858</v>
      </c>
      <c r="N90" s="38"/>
      <c r="O90" s="39">
        <f>J90-E90</f>
        <v>0.2436101858</v>
      </c>
      <c r="P90" s="38"/>
      <c r="Q90" s="38"/>
      <c r="R90" s="39">
        <f>S90+T90+U90+V90</f>
        <v>0.2436101858</v>
      </c>
      <c r="S90" s="45"/>
      <c r="T90" s="39">
        <f>J90</f>
        <v>0.2436101858</v>
      </c>
      <c r="U90" s="45"/>
      <c r="V90" s="45"/>
      <c r="W90" s="13"/>
      <c r="X90" s="13"/>
      <c r="Y90" s="13"/>
      <c r="Z90" s="13"/>
      <c r="AA90" s="13"/>
      <c r="AB90" s="13"/>
      <c r="AC90" s="13"/>
      <c r="AD90" s="13"/>
      <c r="AE90" s="57">
        <v>2014</v>
      </c>
      <c r="AF90" s="50">
        <v>15</v>
      </c>
      <c r="AG90" s="13"/>
      <c r="AH90" s="13" t="s">
        <v>211</v>
      </c>
      <c r="AI90" s="50">
        <v>0.33</v>
      </c>
      <c r="AJ90" s="14"/>
    </row>
    <row r="91" spans="1:36" ht="31.5">
      <c r="A91" s="21" t="s">
        <v>202</v>
      </c>
      <c r="B91" s="20" t="s">
        <v>203</v>
      </c>
      <c r="C91" s="39"/>
      <c r="D91" s="39"/>
      <c r="E91" s="39"/>
      <c r="F91" s="39"/>
      <c r="G91" s="39"/>
      <c r="H91" s="39">
        <f>I91+J91+K91+L91</f>
        <v>0.2843114538</v>
      </c>
      <c r="I91" s="38"/>
      <c r="J91" s="39">
        <f>'Раздел 1'!E101</f>
        <v>0.2843114538</v>
      </c>
      <c r="K91" s="38"/>
      <c r="L91" s="38"/>
      <c r="M91" s="39">
        <f>N91+O91+P91+Q91</f>
        <v>0.2843114538</v>
      </c>
      <c r="N91" s="38"/>
      <c r="O91" s="39">
        <f>J91-E91</f>
        <v>0.2843114538</v>
      </c>
      <c r="P91" s="38"/>
      <c r="Q91" s="38"/>
      <c r="R91" s="39">
        <f>S91+T91+U91+V91</f>
        <v>0.2843114538</v>
      </c>
      <c r="S91" s="45"/>
      <c r="T91" s="39">
        <f>J91</f>
        <v>0.2843114538</v>
      </c>
      <c r="U91" s="45"/>
      <c r="V91" s="45"/>
      <c r="W91" s="13"/>
      <c r="X91" s="13"/>
      <c r="Y91" s="13"/>
      <c r="Z91" s="13"/>
      <c r="AA91" s="13"/>
      <c r="AB91" s="13"/>
      <c r="AC91" s="13"/>
      <c r="AD91" s="13"/>
      <c r="AE91" s="57">
        <v>2014</v>
      </c>
      <c r="AF91" s="51" t="s">
        <v>226</v>
      </c>
      <c r="AG91" s="13"/>
      <c r="AH91" s="52" t="s">
        <v>227</v>
      </c>
      <c r="AI91" s="51" t="s">
        <v>230</v>
      </c>
      <c r="AJ91" s="14"/>
    </row>
    <row r="92" spans="1:36" ht="25.5">
      <c r="A92" s="21" t="s">
        <v>204</v>
      </c>
      <c r="B92" s="20" t="s">
        <v>205</v>
      </c>
      <c r="C92" s="39"/>
      <c r="D92" s="39"/>
      <c r="E92" s="39"/>
      <c r="F92" s="39"/>
      <c r="G92" s="39"/>
      <c r="H92" s="39">
        <f>I92+J92+K92+L92</f>
        <v>0.0544391702</v>
      </c>
      <c r="I92" s="38"/>
      <c r="J92" s="39">
        <f>'Раздел 1'!E102</f>
        <v>0.0544391702</v>
      </c>
      <c r="K92" s="38"/>
      <c r="L92" s="38"/>
      <c r="M92" s="39">
        <f>N92+O92+P92+Q92</f>
        <v>0.0544391702</v>
      </c>
      <c r="N92" s="38"/>
      <c r="O92" s="39">
        <f>J92-E92</f>
        <v>0.0544391702</v>
      </c>
      <c r="P92" s="38"/>
      <c r="Q92" s="38"/>
      <c r="R92" s="39">
        <f>S92+T92+U92+V92</f>
        <v>0.0544391702</v>
      </c>
      <c r="S92" s="45"/>
      <c r="T92" s="39">
        <f>J92</f>
        <v>0.0544391702</v>
      </c>
      <c r="U92" s="45"/>
      <c r="V92" s="45"/>
      <c r="W92" s="13"/>
      <c r="X92" s="13"/>
      <c r="Y92" s="13"/>
      <c r="Z92" s="13"/>
      <c r="AA92" s="13"/>
      <c r="AB92" s="13"/>
      <c r="AC92" s="13"/>
      <c r="AD92" s="13"/>
      <c r="AE92" s="57">
        <v>2014</v>
      </c>
      <c r="AF92" s="58">
        <v>15</v>
      </c>
      <c r="AG92" s="57"/>
      <c r="AH92" s="57" t="s">
        <v>229</v>
      </c>
      <c r="AI92" s="58">
        <v>0.11</v>
      </c>
      <c r="AJ92" s="14"/>
    </row>
    <row r="93" spans="1:36" ht="15.75">
      <c r="A93" s="123" t="s">
        <v>110</v>
      </c>
      <c r="B93" s="124"/>
      <c r="C93" s="3"/>
      <c r="D93" s="3"/>
      <c r="E93" s="3"/>
      <c r="F93" s="3"/>
      <c r="G93" s="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4"/>
    </row>
    <row r="94" spans="1:36" ht="25.5">
      <c r="A94" s="33"/>
      <c r="B94" s="24" t="s">
        <v>118</v>
      </c>
      <c r="C94" s="3"/>
      <c r="D94" s="3"/>
      <c r="E94" s="3"/>
      <c r="F94" s="3"/>
      <c r="G94" s="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4"/>
    </row>
    <row r="98" ht="15.75">
      <c r="A98" s="1" t="s">
        <v>27</v>
      </c>
    </row>
  </sheetData>
  <sheetProtection/>
  <mergeCells count="15">
    <mergeCell ref="H7:L8"/>
    <mergeCell ref="M7:Q8"/>
    <mergeCell ref="R7:V8"/>
    <mergeCell ref="W7:AJ7"/>
    <mergeCell ref="W8:Z8"/>
    <mergeCell ref="AA8:AD8"/>
    <mergeCell ref="AE8:AI8"/>
    <mergeCell ref="AJ8:AJ9"/>
    <mergeCell ref="AC3:AJ3"/>
    <mergeCell ref="A1:AJ1"/>
    <mergeCell ref="A93:B93"/>
    <mergeCell ref="A6:AJ6"/>
    <mergeCell ref="A7:A8"/>
    <mergeCell ref="B7:B8"/>
    <mergeCell ref="C7:G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5:B16 B25 B33:B34 B51:B56 B79 B88:B92 B64:B73">
      <formula1>900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8" scale="41" r:id="rId1"/>
  <ignoredErrors>
    <ignoredError sqref="A13:A23 A67:A92 A33:A66 A24:A26" twoDigitTextYear="1"/>
    <ignoredError sqref="H12:H18 M12:R17 C26:T26 T17 H57:T58 C74:T74 C80:D80 C75:D75 F75:I75 C76:E76 G76:J76 C77:D77 F77:I77 C78:D78 F78:I78 F79:G79 K75:T75 L76:T76 K77:T77 K78:T78 L79:N79 F80:T80 I79 P79:S79 H87:T8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G97"/>
  <sheetViews>
    <sheetView tabSelected="1" zoomScale="70" zoomScaleNormal="70" zoomScalePageLayoutView="0" workbookViewId="0" topLeftCell="A67">
      <selection activeCell="H82" sqref="H82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3" width="8.00390625" style="1" customWidth="1"/>
    <col min="4" max="4" width="7.25390625" style="1" customWidth="1"/>
    <col min="5" max="5" width="7.125" style="1" customWidth="1"/>
    <col min="6" max="6" width="7.875" style="1" customWidth="1"/>
    <col min="7" max="7" width="7.625" style="1" customWidth="1"/>
    <col min="8" max="9" width="7.25390625" style="1" customWidth="1"/>
    <col min="10" max="10" width="8.375" style="1" customWidth="1"/>
    <col min="11" max="11" width="7.875" style="1" customWidth="1"/>
    <col min="12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6" width="7.75390625" style="1" customWidth="1"/>
    <col min="17" max="17" width="8.00390625" style="1" customWidth="1"/>
    <col min="18" max="18" width="8.125" style="1" customWidth="1"/>
    <col min="19" max="20" width="8.00390625" style="1" customWidth="1"/>
    <col min="21" max="21" width="8.875" style="1" customWidth="1"/>
    <col min="22" max="22" width="10.25390625" style="1" customWidth="1"/>
    <col min="23" max="16384" width="9.00390625" style="1" customWidth="1"/>
  </cols>
  <sheetData>
    <row r="1" spans="13:22" ht="15.75">
      <c r="M1" s="2"/>
      <c r="V1" s="2"/>
    </row>
    <row r="2" spans="1:22" ht="15.75">
      <c r="A2" s="112" t="s">
        <v>264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ht="16.5" thickBot="1"/>
    <row r="4" spans="1:22" ht="15.75" customHeight="1">
      <c r="A4" s="187" t="s">
        <v>232</v>
      </c>
      <c r="B4" s="190" t="s">
        <v>233</v>
      </c>
      <c r="C4" s="193" t="s">
        <v>234</v>
      </c>
      <c r="D4" s="194"/>
      <c r="E4" s="194"/>
      <c r="F4" s="194"/>
      <c r="G4" s="194"/>
      <c r="H4" s="194"/>
      <c r="I4" s="194"/>
      <c r="J4" s="194"/>
      <c r="K4" s="194"/>
      <c r="L4" s="195"/>
      <c r="M4" s="193" t="s">
        <v>235</v>
      </c>
      <c r="N4" s="194"/>
      <c r="O4" s="194"/>
      <c r="P4" s="194"/>
      <c r="Q4" s="194"/>
      <c r="R4" s="194"/>
      <c r="S4" s="194"/>
      <c r="T4" s="194"/>
      <c r="U4" s="194"/>
      <c r="V4" s="195"/>
    </row>
    <row r="5" spans="1:22" ht="15.75">
      <c r="A5" s="188"/>
      <c r="B5" s="191"/>
      <c r="C5" s="196" t="s">
        <v>113</v>
      </c>
      <c r="D5" s="197"/>
      <c r="E5" s="197"/>
      <c r="F5" s="197"/>
      <c r="G5" s="198"/>
      <c r="H5" s="199" t="s">
        <v>103</v>
      </c>
      <c r="I5" s="197"/>
      <c r="J5" s="197"/>
      <c r="K5" s="197"/>
      <c r="L5" s="200"/>
      <c r="M5" s="196" t="s">
        <v>113</v>
      </c>
      <c r="N5" s="197"/>
      <c r="O5" s="197"/>
      <c r="P5" s="197"/>
      <c r="Q5" s="198"/>
      <c r="R5" s="199" t="s">
        <v>103</v>
      </c>
      <c r="S5" s="197"/>
      <c r="T5" s="197"/>
      <c r="U5" s="197"/>
      <c r="V5" s="200"/>
    </row>
    <row r="6" spans="1:22" ht="31.5" customHeight="1">
      <c r="A6" s="188"/>
      <c r="B6" s="191"/>
      <c r="C6" s="181" t="s">
        <v>236</v>
      </c>
      <c r="D6" s="182"/>
      <c r="E6" s="182"/>
      <c r="F6" s="182"/>
      <c r="G6" s="183"/>
      <c r="H6" s="184" t="s">
        <v>236</v>
      </c>
      <c r="I6" s="182"/>
      <c r="J6" s="182"/>
      <c r="K6" s="182"/>
      <c r="L6" s="185"/>
      <c r="M6" s="181" t="s">
        <v>236</v>
      </c>
      <c r="N6" s="182"/>
      <c r="O6" s="182"/>
      <c r="P6" s="182"/>
      <c r="Q6" s="183"/>
      <c r="R6" s="184" t="s">
        <v>236</v>
      </c>
      <c r="S6" s="182"/>
      <c r="T6" s="182"/>
      <c r="U6" s="182"/>
      <c r="V6" s="185"/>
    </row>
    <row r="7" spans="1:22" ht="32.25" thickBot="1">
      <c r="A7" s="189"/>
      <c r="B7" s="192"/>
      <c r="C7" s="55" t="s">
        <v>237</v>
      </c>
      <c r="D7" s="12" t="s">
        <v>238</v>
      </c>
      <c r="E7" s="12" t="s">
        <v>239</v>
      </c>
      <c r="F7" s="12" t="s">
        <v>240</v>
      </c>
      <c r="G7" s="12" t="s">
        <v>241</v>
      </c>
      <c r="H7" s="12" t="s">
        <v>237</v>
      </c>
      <c r="I7" s="12" t="s">
        <v>238</v>
      </c>
      <c r="J7" s="12" t="s">
        <v>239</v>
      </c>
      <c r="K7" s="12" t="s">
        <v>240</v>
      </c>
      <c r="L7" s="56" t="s">
        <v>241</v>
      </c>
      <c r="M7" s="55" t="s">
        <v>237</v>
      </c>
      <c r="N7" s="12" t="s">
        <v>238</v>
      </c>
      <c r="O7" s="12" t="s">
        <v>239</v>
      </c>
      <c r="P7" s="12" t="s">
        <v>240</v>
      </c>
      <c r="Q7" s="56" t="s">
        <v>241</v>
      </c>
      <c r="R7" s="12" t="s">
        <v>237</v>
      </c>
      <c r="S7" s="12" t="s">
        <v>238</v>
      </c>
      <c r="T7" s="12" t="s">
        <v>239</v>
      </c>
      <c r="U7" s="12" t="s">
        <v>240</v>
      </c>
      <c r="V7" s="56" t="s">
        <v>241</v>
      </c>
    </row>
    <row r="8" spans="1:22" ht="16.5" thickBot="1">
      <c r="A8" s="77">
        <v>1</v>
      </c>
      <c r="B8" s="78">
        <v>2</v>
      </c>
      <c r="C8" s="80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K8" s="79">
        <v>11</v>
      </c>
      <c r="L8" s="81">
        <v>12</v>
      </c>
      <c r="M8" s="80">
        <v>13</v>
      </c>
      <c r="N8" s="79">
        <v>14</v>
      </c>
      <c r="O8" s="79">
        <v>15</v>
      </c>
      <c r="P8" s="79">
        <v>16</v>
      </c>
      <c r="Q8" s="79">
        <v>17</v>
      </c>
      <c r="R8" s="79">
        <v>18</v>
      </c>
      <c r="S8" s="79">
        <v>19</v>
      </c>
      <c r="T8" s="79">
        <v>20</v>
      </c>
      <c r="U8" s="79">
        <v>21</v>
      </c>
      <c r="V8" s="81">
        <v>22</v>
      </c>
    </row>
    <row r="9" spans="1:22" ht="25.5">
      <c r="A9" s="82">
        <v>1</v>
      </c>
      <c r="B9" s="87" t="s">
        <v>122</v>
      </c>
      <c r="C9" s="61"/>
      <c r="D9" s="62"/>
      <c r="E9" s="62"/>
      <c r="F9" s="62"/>
      <c r="G9" s="62"/>
      <c r="H9" s="62"/>
      <c r="I9" s="62"/>
      <c r="J9" s="62"/>
      <c r="K9" s="62"/>
      <c r="L9" s="63"/>
      <c r="M9" s="61"/>
      <c r="N9" s="62"/>
      <c r="O9" s="62"/>
      <c r="P9" s="62"/>
      <c r="Q9" s="62"/>
      <c r="R9" s="62"/>
      <c r="S9" s="62"/>
      <c r="T9" s="62"/>
      <c r="U9" s="62"/>
      <c r="V9" s="63"/>
    </row>
    <row r="10" spans="1:22" ht="18.75" customHeight="1">
      <c r="A10" s="34" t="s">
        <v>92</v>
      </c>
      <c r="B10" s="88" t="s">
        <v>119</v>
      </c>
      <c r="C10" s="64"/>
      <c r="D10" s="54"/>
      <c r="E10" s="54"/>
      <c r="F10" s="54"/>
      <c r="G10" s="54"/>
      <c r="H10" s="54"/>
      <c r="I10" s="54"/>
      <c r="J10" s="54"/>
      <c r="K10" s="54"/>
      <c r="L10" s="65"/>
      <c r="M10" s="64"/>
      <c r="N10" s="54"/>
      <c r="O10" s="54"/>
      <c r="P10" s="54"/>
      <c r="Q10" s="54"/>
      <c r="R10" s="54"/>
      <c r="S10" s="54"/>
      <c r="T10" s="54"/>
      <c r="U10" s="54"/>
      <c r="V10" s="65"/>
    </row>
    <row r="11" spans="1:22" ht="15.75">
      <c r="A11" s="34"/>
      <c r="B11" s="89" t="s">
        <v>64</v>
      </c>
      <c r="C11" s="64"/>
      <c r="D11" s="54"/>
      <c r="E11" s="54"/>
      <c r="F11" s="54"/>
      <c r="G11" s="54"/>
      <c r="H11" s="54"/>
      <c r="I11" s="54"/>
      <c r="J11" s="54"/>
      <c r="K11" s="54"/>
      <c r="L11" s="65"/>
      <c r="M11" s="64"/>
      <c r="N11" s="54"/>
      <c r="O11" s="54"/>
      <c r="P11" s="54"/>
      <c r="Q11" s="54"/>
      <c r="R11" s="54"/>
      <c r="S11" s="54"/>
      <c r="T11" s="54"/>
      <c r="U11" s="54"/>
      <c r="V11" s="65"/>
    </row>
    <row r="12" spans="1:33" s="111" customFormat="1" ht="12.75" customHeight="1">
      <c r="A12" s="21" t="s">
        <v>38</v>
      </c>
      <c r="B12" s="90" t="s">
        <v>88</v>
      </c>
      <c r="C12" s="64"/>
      <c r="D12" s="54"/>
      <c r="E12" s="54">
        <v>6</v>
      </c>
      <c r="F12" s="54"/>
      <c r="G12" s="54">
        <v>6</v>
      </c>
      <c r="H12" s="54"/>
      <c r="I12" s="54">
        <v>3</v>
      </c>
      <c r="J12" s="54">
        <v>2</v>
      </c>
      <c r="K12" s="54">
        <v>1</v>
      </c>
      <c r="L12" s="65">
        <v>6</v>
      </c>
      <c r="M12" s="64"/>
      <c r="N12" s="54"/>
      <c r="O12" s="54">
        <v>6</v>
      </c>
      <c r="P12" s="54"/>
      <c r="Q12" s="54">
        <v>6</v>
      </c>
      <c r="R12" s="54"/>
      <c r="S12" s="54">
        <v>3</v>
      </c>
      <c r="T12" s="54">
        <v>2</v>
      </c>
      <c r="U12" s="54">
        <v>1</v>
      </c>
      <c r="V12" s="65">
        <v>6</v>
      </c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</row>
    <row r="13" spans="1:22" ht="89.25">
      <c r="A13" s="21" t="s">
        <v>39</v>
      </c>
      <c r="B13" s="90" t="s">
        <v>89</v>
      </c>
      <c r="C13" s="64"/>
      <c r="D13" s="54"/>
      <c r="E13" s="54">
        <v>10</v>
      </c>
      <c r="F13" s="54"/>
      <c r="G13" s="54">
        <v>10</v>
      </c>
      <c r="H13" s="54"/>
      <c r="I13" s="54"/>
      <c r="J13" s="54">
        <v>10</v>
      </c>
      <c r="K13" s="54"/>
      <c r="L13" s="65">
        <v>10</v>
      </c>
      <c r="M13" s="64"/>
      <c r="N13" s="54"/>
      <c r="O13" s="54">
        <v>10</v>
      </c>
      <c r="P13" s="54"/>
      <c r="Q13" s="54">
        <v>10</v>
      </c>
      <c r="R13" s="54"/>
      <c r="S13" s="54"/>
      <c r="T13" s="54">
        <v>10</v>
      </c>
      <c r="U13" s="54"/>
      <c r="V13" s="65">
        <v>10</v>
      </c>
    </row>
    <row r="14" spans="1:22" ht="15.75" customHeight="1">
      <c r="A14" s="21" t="s">
        <v>40</v>
      </c>
      <c r="B14" s="90" t="s">
        <v>160</v>
      </c>
      <c r="C14" s="64"/>
      <c r="D14" s="54"/>
      <c r="E14" s="54"/>
      <c r="F14" s="54"/>
      <c r="G14" s="54"/>
      <c r="H14" s="54"/>
      <c r="I14" s="54"/>
      <c r="J14" s="54"/>
      <c r="K14" s="54"/>
      <c r="L14" s="65"/>
      <c r="M14" s="64"/>
      <c r="N14" s="54"/>
      <c r="O14" s="54"/>
      <c r="P14" s="54"/>
      <c r="Q14" s="54"/>
      <c r="R14" s="54"/>
      <c r="S14" s="54"/>
      <c r="T14" s="54"/>
      <c r="U14" s="54"/>
      <c r="V14" s="65"/>
    </row>
    <row r="15" spans="1:22" ht="15.75" customHeight="1">
      <c r="A15" s="21" t="s">
        <v>41</v>
      </c>
      <c r="B15" s="90" t="s">
        <v>161</v>
      </c>
      <c r="C15" s="64"/>
      <c r="D15" s="54"/>
      <c r="E15" s="54"/>
      <c r="F15" s="54"/>
      <c r="G15" s="54"/>
      <c r="H15" s="54"/>
      <c r="I15" s="54"/>
      <c r="J15" s="54"/>
      <c r="K15" s="54"/>
      <c r="L15" s="65"/>
      <c r="M15" s="64"/>
      <c r="N15" s="54"/>
      <c r="O15" s="54"/>
      <c r="P15" s="54"/>
      <c r="Q15" s="54"/>
      <c r="R15" s="54"/>
      <c r="S15" s="54"/>
      <c r="T15" s="54"/>
      <c r="U15" s="54"/>
      <c r="V15" s="65"/>
    </row>
    <row r="16" spans="1:22" ht="15.75" customHeight="1">
      <c r="A16" s="30"/>
      <c r="B16" s="89" t="s">
        <v>67</v>
      </c>
      <c r="C16" s="64"/>
      <c r="D16" s="54"/>
      <c r="E16" s="54"/>
      <c r="F16" s="54"/>
      <c r="G16" s="54"/>
      <c r="H16" s="54"/>
      <c r="I16" s="54"/>
      <c r="J16" s="54"/>
      <c r="K16" s="54"/>
      <c r="L16" s="65"/>
      <c r="M16" s="64"/>
      <c r="N16" s="54"/>
      <c r="O16" s="54"/>
      <c r="P16" s="54"/>
      <c r="Q16" s="54"/>
      <c r="R16" s="54"/>
      <c r="S16" s="54"/>
      <c r="T16" s="54"/>
      <c r="U16" s="54"/>
      <c r="V16" s="65"/>
    </row>
    <row r="17" spans="1:22" ht="15" customHeight="1">
      <c r="A17" s="21" t="s">
        <v>42</v>
      </c>
      <c r="B17" s="91" t="s">
        <v>214</v>
      </c>
      <c r="C17" s="64"/>
      <c r="D17" s="54"/>
      <c r="E17" s="54">
        <v>0.1</v>
      </c>
      <c r="F17" s="54"/>
      <c r="G17" s="54">
        <v>0.1</v>
      </c>
      <c r="H17" s="54"/>
      <c r="I17" s="54">
        <v>0.092</v>
      </c>
      <c r="J17" s="54"/>
      <c r="K17" s="54"/>
      <c r="L17" s="65">
        <v>0.092</v>
      </c>
      <c r="M17" s="64"/>
      <c r="N17" s="54"/>
      <c r="O17" s="54">
        <v>0.1</v>
      </c>
      <c r="P17" s="54"/>
      <c r="Q17" s="54">
        <v>0.1</v>
      </c>
      <c r="R17" s="54"/>
      <c r="S17" s="54">
        <v>0.092</v>
      </c>
      <c r="T17" s="54"/>
      <c r="U17" s="54"/>
      <c r="V17" s="65">
        <v>0.092</v>
      </c>
    </row>
    <row r="18" spans="1:22" ht="38.25">
      <c r="A18" s="21" t="s">
        <v>43</v>
      </c>
      <c r="B18" s="91" t="s">
        <v>148</v>
      </c>
      <c r="C18" s="64"/>
      <c r="D18" s="54"/>
      <c r="E18" s="54">
        <v>0.35</v>
      </c>
      <c r="F18" s="54"/>
      <c r="G18" s="54">
        <v>0.35</v>
      </c>
      <c r="H18" s="54"/>
      <c r="I18" s="54"/>
      <c r="J18" s="54">
        <v>0.336</v>
      </c>
      <c r="K18" s="54"/>
      <c r="L18" s="65">
        <v>0.336</v>
      </c>
      <c r="M18" s="64"/>
      <c r="N18" s="54"/>
      <c r="O18" s="54">
        <v>0.35</v>
      </c>
      <c r="P18" s="54"/>
      <c r="Q18" s="54">
        <v>0.35</v>
      </c>
      <c r="R18" s="54"/>
      <c r="S18" s="54"/>
      <c r="T18" s="54">
        <v>0.336</v>
      </c>
      <c r="U18" s="54"/>
      <c r="V18" s="65">
        <v>0.336</v>
      </c>
    </row>
    <row r="19" spans="1:22" ht="38.25">
      <c r="A19" s="21" t="s">
        <v>44</v>
      </c>
      <c r="B19" s="91" t="s">
        <v>146</v>
      </c>
      <c r="C19" s="64"/>
      <c r="D19" s="54"/>
      <c r="E19" s="54">
        <v>0.3</v>
      </c>
      <c r="F19" s="54"/>
      <c r="G19" s="54">
        <v>0.3</v>
      </c>
      <c r="H19" s="54"/>
      <c r="I19" s="54"/>
      <c r="J19" s="54">
        <v>0.313</v>
      </c>
      <c r="K19" s="54"/>
      <c r="L19" s="65">
        <v>0.313</v>
      </c>
      <c r="M19" s="64"/>
      <c r="N19" s="54"/>
      <c r="O19" s="54">
        <v>0.3</v>
      </c>
      <c r="P19" s="54"/>
      <c r="Q19" s="54">
        <v>0.3</v>
      </c>
      <c r="R19" s="54"/>
      <c r="S19" s="54"/>
      <c r="T19" s="54">
        <v>0.313</v>
      </c>
      <c r="U19" s="54"/>
      <c r="V19" s="65">
        <v>0.313</v>
      </c>
    </row>
    <row r="20" spans="1:22" ht="38.25">
      <c r="A20" s="21" t="s">
        <v>45</v>
      </c>
      <c r="B20" s="91" t="s">
        <v>149</v>
      </c>
      <c r="C20" s="64"/>
      <c r="D20" s="54"/>
      <c r="E20" s="54">
        <v>0.3</v>
      </c>
      <c r="F20" s="54"/>
      <c r="G20" s="54">
        <v>0.3</v>
      </c>
      <c r="H20" s="54"/>
      <c r="I20" s="54">
        <v>0.237</v>
      </c>
      <c r="J20" s="54"/>
      <c r="K20" s="54"/>
      <c r="L20" s="65">
        <v>0.237</v>
      </c>
      <c r="M20" s="64"/>
      <c r="N20" s="54"/>
      <c r="O20" s="54">
        <v>0.3</v>
      </c>
      <c r="P20" s="54"/>
      <c r="Q20" s="54">
        <v>0.3</v>
      </c>
      <c r="R20" s="54"/>
      <c r="S20" s="54">
        <v>0.237</v>
      </c>
      <c r="T20" s="54"/>
      <c r="U20" s="54"/>
      <c r="V20" s="65">
        <v>0.237</v>
      </c>
    </row>
    <row r="21" spans="1:22" ht="38.25">
      <c r="A21" s="21" t="s">
        <v>46</v>
      </c>
      <c r="B21" s="91" t="s">
        <v>150</v>
      </c>
      <c r="C21" s="64"/>
      <c r="D21" s="54"/>
      <c r="E21" s="54">
        <v>0.33</v>
      </c>
      <c r="F21" s="54"/>
      <c r="G21" s="54">
        <v>0.33</v>
      </c>
      <c r="H21" s="54"/>
      <c r="I21" s="54"/>
      <c r="J21" s="54"/>
      <c r="K21" s="54">
        <v>0.13</v>
      </c>
      <c r="L21" s="65">
        <v>0.13</v>
      </c>
      <c r="M21" s="64"/>
      <c r="N21" s="54"/>
      <c r="O21" s="54">
        <v>0.33</v>
      </c>
      <c r="P21" s="54"/>
      <c r="Q21" s="54">
        <v>0.33</v>
      </c>
      <c r="R21" s="54"/>
      <c r="S21" s="54"/>
      <c r="T21" s="54"/>
      <c r="U21" s="54">
        <v>0.13</v>
      </c>
      <c r="V21" s="65">
        <v>0.13</v>
      </c>
    </row>
    <row r="22" spans="1:22" ht="38.25">
      <c r="A22" s="21" t="s">
        <v>47</v>
      </c>
      <c r="B22" s="91" t="s">
        <v>147</v>
      </c>
      <c r="C22" s="64"/>
      <c r="D22" s="54"/>
      <c r="E22" s="54"/>
      <c r="F22" s="54">
        <v>0.43</v>
      </c>
      <c r="G22" s="54">
        <v>0.43</v>
      </c>
      <c r="H22" s="54"/>
      <c r="I22" s="54"/>
      <c r="J22" s="54">
        <v>0.32</v>
      </c>
      <c r="K22" s="54"/>
      <c r="L22" s="65">
        <v>0.32</v>
      </c>
      <c r="M22" s="64"/>
      <c r="N22" s="54"/>
      <c r="O22" s="54"/>
      <c r="P22" s="54">
        <v>0.43</v>
      </c>
      <c r="Q22" s="54">
        <v>0.43</v>
      </c>
      <c r="R22" s="54"/>
      <c r="S22" s="54"/>
      <c r="T22" s="54">
        <v>0.32</v>
      </c>
      <c r="U22" s="54"/>
      <c r="V22" s="65">
        <v>0.32</v>
      </c>
    </row>
    <row r="23" spans="1:22" ht="25.5">
      <c r="A23" s="21" t="s">
        <v>48</v>
      </c>
      <c r="B23" s="91" t="s">
        <v>172</v>
      </c>
      <c r="C23" s="64"/>
      <c r="D23" s="54"/>
      <c r="E23" s="54"/>
      <c r="F23" s="54"/>
      <c r="G23" s="54"/>
      <c r="H23" s="54"/>
      <c r="I23" s="54"/>
      <c r="J23" s="54">
        <v>0.105</v>
      </c>
      <c r="K23" s="54"/>
      <c r="L23" s="65">
        <v>0.105</v>
      </c>
      <c r="M23" s="64"/>
      <c r="N23" s="54"/>
      <c r="O23" s="54"/>
      <c r="P23" s="54"/>
      <c r="Q23" s="54"/>
      <c r="R23" s="54"/>
      <c r="S23" s="54"/>
      <c r="T23" s="54">
        <v>0.105</v>
      </c>
      <c r="U23" s="54"/>
      <c r="V23" s="65">
        <v>0.105</v>
      </c>
    </row>
    <row r="24" spans="1:22" ht="25.5">
      <c r="A24" s="21" t="s">
        <v>49</v>
      </c>
      <c r="B24" s="91" t="s">
        <v>162</v>
      </c>
      <c r="C24" s="64"/>
      <c r="D24" s="54"/>
      <c r="E24" s="54"/>
      <c r="F24" s="54">
        <v>0.21</v>
      </c>
      <c r="G24" s="54">
        <v>0.21</v>
      </c>
      <c r="H24" s="54"/>
      <c r="I24" s="54"/>
      <c r="J24" s="54">
        <v>0.138</v>
      </c>
      <c r="K24" s="54"/>
      <c r="L24" s="65">
        <v>0.138</v>
      </c>
      <c r="M24" s="64"/>
      <c r="N24" s="54"/>
      <c r="O24" s="54"/>
      <c r="P24" s="54">
        <v>0.21</v>
      </c>
      <c r="Q24" s="54">
        <v>0.21</v>
      </c>
      <c r="R24" s="54"/>
      <c r="S24" s="54"/>
      <c r="T24" s="54">
        <v>0.138</v>
      </c>
      <c r="U24" s="54"/>
      <c r="V24" s="65">
        <v>0.138</v>
      </c>
    </row>
    <row r="25" spans="1:22" ht="15.75">
      <c r="A25" s="21"/>
      <c r="B25" s="92" t="s">
        <v>68</v>
      </c>
      <c r="C25" s="64"/>
      <c r="D25" s="54"/>
      <c r="E25" s="54"/>
      <c r="F25" s="54"/>
      <c r="G25" s="54"/>
      <c r="H25" s="54"/>
      <c r="I25" s="54"/>
      <c r="J25" s="54"/>
      <c r="K25" s="54"/>
      <c r="L25" s="65"/>
      <c r="M25" s="64"/>
      <c r="N25" s="54"/>
      <c r="O25" s="54"/>
      <c r="P25" s="54"/>
      <c r="Q25" s="54"/>
      <c r="R25" s="54"/>
      <c r="S25" s="54"/>
      <c r="T25" s="54"/>
      <c r="U25" s="54"/>
      <c r="V25" s="65"/>
    </row>
    <row r="26" spans="1:22" ht="38.25">
      <c r="A26" s="21" t="s">
        <v>50</v>
      </c>
      <c r="B26" s="90" t="s">
        <v>90</v>
      </c>
      <c r="C26" s="64"/>
      <c r="D26" s="54"/>
      <c r="E26" s="54"/>
      <c r="F26" s="54">
        <v>1</v>
      </c>
      <c r="G26" s="54">
        <v>1</v>
      </c>
      <c r="H26" s="54"/>
      <c r="I26" s="54"/>
      <c r="J26" s="54"/>
      <c r="K26" s="54">
        <v>1</v>
      </c>
      <c r="L26" s="65">
        <v>1</v>
      </c>
      <c r="M26" s="64"/>
      <c r="N26" s="54"/>
      <c r="O26" s="54"/>
      <c r="P26" s="54"/>
      <c r="Q26" s="54"/>
      <c r="R26" s="54"/>
      <c r="S26" s="54"/>
      <c r="T26" s="54"/>
      <c r="U26" s="54"/>
      <c r="V26" s="65"/>
    </row>
    <row r="27" spans="1:22" ht="38.25">
      <c r="A27" s="21" t="s">
        <v>51</v>
      </c>
      <c r="B27" s="90" t="s">
        <v>139</v>
      </c>
      <c r="C27" s="64"/>
      <c r="D27" s="54"/>
      <c r="E27" s="54">
        <v>1</v>
      </c>
      <c r="F27" s="54"/>
      <c r="G27" s="54">
        <v>1</v>
      </c>
      <c r="H27" s="54"/>
      <c r="I27" s="54"/>
      <c r="J27" s="54">
        <v>1</v>
      </c>
      <c r="K27" s="54"/>
      <c r="L27" s="65">
        <v>1</v>
      </c>
      <c r="M27" s="64"/>
      <c r="N27" s="54"/>
      <c r="O27" s="54">
        <v>1</v>
      </c>
      <c r="P27" s="54"/>
      <c r="Q27" s="101">
        <v>1</v>
      </c>
      <c r="R27" s="54"/>
      <c r="S27" s="54"/>
      <c r="T27" s="54">
        <v>1</v>
      </c>
      <c r="U27" s="54"/>
      <c r="V27" s="65">
        <v>1</v>
      </c>
    </row>
    <row r="28" spans="1:22" ht="38.25">
      <c r="A28" s="21" t="s">
        <v>52</v>
      </c>
      <c r="B28" s="90" t="s">
        <v>136</v>
      </c>
      <c r="C28" s="64"/>
      <c r="D28" s="54"/>
      <c r="E28" s="54"/>
      <c r="F28" s="54">
        <v>1</v>
      </c>
      <c r="G28" s="54">
        <v>1</v>
      </c>
      <c r="H28" s="54"/>
      <c r="I28" s="54"/>
      <c r="J28" s="54"/>
      <c r="K28" s="54">
        <v>1</v>
      </c>
      <c r="L28" s="65">
        <v>1</v>
      </c>
      <c r="M28" s="64"/>
      <c r="N28" s="54"/>
      <c r="O28" s="54"/>
      <c r="P28" s="54">
        <v>1</v>
      </c>
      <c r="Q28" s="101">
        <v>1</v>
      </c>
      <c r="R28" s="54"/>
      <c r="S28" s="54"/>
      <c r="T28" s="54">
        <v>1</v>
      </c>
      <c r="U28" s="54"/>
      <c r="V28" s="65">
        <v>1</v>
      </c>
    </row>
    <row r="29" spans="1:22" ht="38.25">
      <c r="A29" s="21" t="s">
        <v>158</v>
      </c>
      <c r="B29" s="90" t="s">
        <v>137</v>
      </c>
      <c r="C29" s="64"/>
      <c r="D29" s="54"/>
      <c r="E29" s="54">
        <v>1</v>
      </c>
      <c r="F29" s="54"/>
      <c r="G29" s="54">
        <v>1</v>
      </c>
      <c r="H29" s="54"/>
      <c r="I29" s="54"/>
      <c r="J29" s="54">
        <v>1</v>
      </c>
      <c r="K29" s="54"/>
      <c r="L29" s="65">
        <v>1</v>
      </c>
      <c r="M29" s="64"/>
      <c r="N29" s="54"/>
      <c r="O29" s="54">
        <v>1</v>
      </c>
      <c r="P29" s="54"/>
      <c r="Q29" s="101">
        <v>1</v>
      </c>
      <c r="R29" s="54"/>
      <c r="S29" s="54"/>
      <c r="T29" s="54">
        <v>1</v>
      </c>
      <c r="U29" s="54"/>
      <c r="V29" s="65">
        <v>1</v>
      </c>
    </row>
    <row r="30" spans="1:22" ht="38.25">
      <c r="A30" s="21" t="s">
        <v>159</v>
      </c>
      <c r="B30" s="90" t="s">
        <v>138</v>
      </c>
      <c r="C30" s="64"/>
      <c r="D30" s="54"/>
      <c r="E30" s="54"/>
      <c r="F30" s="54">
        <v>1</v>
      </c>
      <c r="G30" s="54">
        <v>1</v>
      </c>
      <c r="H30" s="54"/>
      <c r="I30" s="54"/>
      <c r="J30" s="54"/>
      <c r="K30" s="54">
        <v>1</v>
      </c>
      <c r="L30" s="65">
        <v>1</v>
      </c>
      <c r="M30" s="64"/>
      <c r="N30" s="54"/>
      <c r="O30" s="54"/>
      <c r="P30" s="54">
        <v>1</v>
      </c>
      <c r="Q30" s="101">
        <v>1</v>
      </c>
      <c r="R30" s="54"/>
      <c r="S30" s="54"/>
      <c r="T30" s="54">
        <v>1</v>
      </c>
      <c r="U30" s="54"/>
      <c r="V30" s="65">
        <v>1</v>
      </c>
    </row>
    <row r="31" spans="1:22" ht="38.25">
      <c r="A31" s="21" t="s">
        <v>206</v>
      </c>
      <c r="B31" s="90" t="s">
        <v>155</v>
      </c>
      <c r="C31" s="64"/>
      <c r="D31" s="54"/>
      <c r="E31" s="54">
        <v>1</v>
      </c>
      <c r="F31" s="54"/>
      <c r="G31" s="54">
        <v>1</v>
      </c>
      <c r="H31" s="54"/>
      <c r="I31" s="54"/>
      <c r="J31" s="54">
        <v>1</v>
      </c>
      <c r="K31" s="54"/>
      <c r="L31" s="65">
        <v>1</v>
      </c>
      <c r="M31" s="64"/>
      <c r="N31" s="54"/>
      <c r="O31" s="54">
        <v>1</v>
      </c>
      <c r="P31" s="54"/>
      <c r="Q31" s="101">
        <v>1</v>
      </c>
      <c r="R31" s="54"/>
      <c r="S31" s="54"/>
      <c r="T31" s="54">
        <v>1</v>
      </c>
      <c r="U31" s="54"/>
      <c r="V31" s="65">
        <v>1</v>
      </c>
    </row>
    <row r="32" spans="1:22" ht="38.25">
      <c r="A32" s="33" t="s">
        <v>93</v>
      </c>
      <c r="B32" s="88" t="s">
        <v>0</v>
      </c>
      <c r="C32" s="64"/>
      <c r="D32" s="54"/>
      <c r="E32" s="54"/>
      <c r="F32" s="54"/>
      <c r="G32" s="54"/>
      <c r="H32" s="54"/>
      <c r="I32" s="54"/>
      <c r="J32" s="54"/>
      <c r="K32" s="54"/>
      <c r="L32" s="65"/>
      <c r="M32" s="64"/>
      <c r="N32" s="54"/>
      <c r="O32" s="54"/>
      <c r="P32" s="54"/>
      <c r="Q32" s="54"/>
      <c r="R32" s="54"/>
      <c r="S32" s="54"/>
      <c r="T32" s="54"/>
      <c r="U32" s="54"/>
      <c r="V32" s="65"/>
    </row>
    <row r="33" spans="1:22" ht="25.5">
      <c r="A33" s="34" t="s">
        <v>99</v>
      </c>
      <c r="B33" s="88" t="s">
        <v>120</v>
      </c>
      <c r="C33" s="64"/>
      <c r="D33" s="54"/>
      <c r="E33" s="54"/>
      <c r="F33" s="54"/>
      <c r="G33" s="54"/>
      <c r="H33" s="54"/>
      <c r="I33" s="54"/>
      <c r="J33" s="54"/>
      <c r="K33" s="54"/>
      <c r="L33" s="65"/>
      <c r="M33" s="64"/>
      <c r="N33" s="54"/>
      <c r="O33" s="54"/>
      <c r="P33" s="54"/>
      <c r="Q33" s="54"/>
      <c r="R33" s="54"/>
      <c r="S33" s="54"/>
      <c r="T33" s="54"/>
      <c r="U33" s="54"/>
      <c r="V33" s="65"/>
    </row>
    <row r="34" spans="1:22" ht="25.5">
      <c r="A34" s="21" t="s">
        <v>53</v>
      </c>
      <c r="B34" s="90" t="s">
        <v>76</v>
      </c>
      <c r="C34" s="64"/>
      <c r="D34" s="54"/>
      <c r="E34" s="54"/>
      <c r="F34" s="54">
        <v>1</v>
      </c>
      <c r="G34" s="54">
        <v>1</v>
      </c>
      <c r="H34" s="54"/>
      <c r="I34" s="54"/>
      <c r="J34" s="54"/>
      <c r="K34" s="54">
        <v>1</v>
      </c>
      <c r="L34" s="65">
        <v>1</v>
      </c>
      <c r="M34" s="64"/>
      <c r="N34" s="54"/>
      <c r="O34" s="54"/>
      <c r="P34" s="54"/>
      <c r="Q34" s="54"/>
      <c r="R34" s="54"/>
      <c r="S34" s="54"/>
      <c r="T34" s="54"/>
      <c r="U34" s="54"/>
      <c r="V34" s="65"/>
    </row>
    <row r="35" spans="1:22" ht="51">
      <c r="A35" s="33" t="s">
        <v>104</v>
      </c>
      <c r="B35" s="88" t="s">
        <v>121</v>
      </c>
      <c r="C35" s="64"/>
      <c r="D35" s="54"/>
      <c r="E35" s="54"/>
      <c r="F35" s="54"/>
      <c r="G35" s="54"/>
      <c r="H35" s="54"/>
      <c r="I35" s="54"/>
      <c r="J35" s="54"/>
      <c r="K35" s="54"/>
      <c r="L35" s="65"/>
      <c r="M35" s="64"/>
      <c r="N35" s="54"/>
      <c r="O35" s="54"/>
      <c r="P35" s="54"/>
      <c r="Q35" s="54"/>
      <c r="R35" s="54"/>
      <c r="S35" s="54"/>
      <c r="T35" s="54"/>
      <c r="U35" s="54"/>
      <c r="V35" s="65"/>
    </row>
    <row r="36" spans="1:22" ht="15.75">
      <c r="A36" s="33" t="s">
        <v>94</v>
      </c>
      <c r="B36" s="88" t="s">
        <v>107</v>
      </c>
      <c r="C36" s="64"/>
      <c r="D36" s="54"/>
      <c r="E36" s="54"/>
      <c r="F36" s="54"/>
      <c r="G36" s="54"/>
      <c r="H36" s="54"/>
      <c r="I36" s="54"/>
      <c r="J36" s="54"/>
      <c r="K36" s="54"/>
      <c r="L36" s="65"/>
      <c r="M36" s="64"/>
      <c r="N36" s="54"/>
      <c r="O36" s="54"/>
      <c r="P36" s="54"/>
      <c r="Q36" s="54"/>
      <c r="R36" s="54"/>
      <c r="S36" s="54"/>
      <c r="T36" s="54"/>
      <c r="U36" s="54"/>
      <c r="V36" s="65"/>
    </row>
    <row r="37" spans="1:22" ht="25.5">
      <c r="A37" s="34" t="s">
        <v>95</v>
      </c>
      <c r="B37" s="88" t="s">
        <v>119</v>
      </c>
      <c r="C37" s="64"/>
      <c r="D37" s="54"/>
      <c r="E37" s="54"/>
      <c r="F37" s="54"/>
      <c r="G37" s="54"/>
      <c r="H37" s="54"/>
      <c r="I37" s="54"/>
      <c r="J37" s="54"/>
      <c r="K37" s="54"/>
      <c r="L37" s="65"/>
      <c r="M37" s="64"/>
      <c r="N37" s="54"/>
      <c r="O37" s="54"/>
      <c r="P37" s="54"/>
      <c r="Q37" s="54"/>
      <c r="R37" s="54"/>
      <c r="S37" s="54"/>
      <c r="T37" s="54"/>
      <c r="U37" s="54"/>
      <c r="V37" s="65"/>
    </row>
    <row r="38" spans="1:22" ht="15.75">
      <c r="A38" s="34"/>
      <c r="B38" s="92" t="s">
        <v>65</v>
      </c>
      <c r="C38" s="64"/>
      <c r="D38" s="54"/>
      <c r="E38" s="54"/>
      <c r="F38" s="54"/>
      <c r="G38" s="54"/>
      <c r="H38" s="54"/>
      <c r="I38" s="54"/>
      <c r="J38" s="54"/>
      <c r="K38" s="54"/>
      <c r="L38" s="65"/>
      <c r="M38" s="64"/>
      <c r="N38" s="54"/>
      <c r="O38" s="54"/>
      <c r="P38" s="54"/>
      <c r="Q38" s="54"/>
      <c r="R38" s="54"/>
      <c r="S38" s="54"/>
      <c r="T38" s="54"/>
      <c r="U38" s="54"/>
      <c r="V38" s="65"/>
    </row>
    <row r="39" spans="1:22" ht="38.25">
      <c r="A39" s="21" t="s">
        <v>54</v>
      </c>
      <c r="B39" s="91" t="s">
        <v>77</v>
      </c>
      <c r="C39" s="64"/>
      <c r="D39" s="54"/>
      <c r="E39" s="54">
        <v>3.8</v>
      </c>
      <c r="F39" s="54"/>
      <c r="G39" s="54">
        <v>3.8</v>
      </c>
      <c r="H39" s="54">
        <v>16.3</v>
      </c>
      <c r="I39" s="54"/>
      <c r="J39" s="54">
        <v>6.15</v>
      </c>
      <c r="K39" s="54">
        <v>6.82</v>
      </c>
      <c r="L39" s="65">
        <v>29.27</v>
      </c>
      <c r="M39" s="64"/>
      <c r="N39" s="54"/>
      <c r="O39" s="54"/>
      <c r="P39" s="54"/>
      <c r="Q39" s="54"/>
      <c r="R39" s="54"/>
      <c r="S39" s="54"/>
      <c r="T39" s="54"/>
      <c r="U39" s="54"/>
      <c r="V39" s="65"/>
    </row>
    <row r="40" spans="1:22" ht="25.5">
      <c r="A40" s="21" t="s">
        <v>55</v>
      </c>
      <c r="B40" s="91" t="s">
        <v>130</v>
      </c>
      <c r="C40" s="64"/>
      <c r="D40" s="54"/>
      <c r="E40" s="54"/>
      <c r="F40" s="54"/>
      <c r="G40" s="54">
        <v>0.7</v>
      </c>
      <c r="H40" s="54"/>
      <c r="I40" s="54"/>
      <c r="J40" s="54"/>
      <c r="K40" s="54">
        <v>0.546</v>
      </c>
      <c r="L40" s="65">
        <v>0.546</v>
      </c>
      <c r="M40" s="64"/>
      <c r="N40" s="54"/>
      <c r="O40" s="54"/>
      <c r="P40" s="54"/>
      <c r="Q40" s="54"/>
      <c r="R40" s="54"/>
      <c r="S40" s="54"/>
      <c r="T40" s="54"/>
      <c r="U40" s="54"/>
      <c r="V40" s="65"/>
    </row>
    <row r="41" spans="1:22" ht="25.5">
      <c r="A41" s="21" t="s">
        <v>56</v>
      </c>
      <c r="B41" s="91" t="s">
        <v>129</v>
      </c>
      <c r="C41" s="64"/>
      <c r="D41" s="54"/>
      <c r="E41" s="54"/>
      <c r="F41" s="54"/>
      <c r="G41" s="54">
        <v>0.7</v>
      </c>
      <c r="H41" s="54"/>
      <c r="I41" s="54"/>
      <c r="J41" s="54"/>
      <c r="K41" s="54">
        <v>0.546</v>
      </c>
      <c r="L41" s="65">
        <v>0.546</v>
      </c>
      <c r="M41" s="64"/>
      <c r="N41" s="54"/>
      <c r="O41" s="54"/>
      <c r="P41" s="54"/>
      <c r="Q41" s="54"/>
      <c r="R41" s="54"/>
      <c r="S41" s="54"/>
      <c r="T41" s="54"/>
      <c r="U41" s="54"/>
      <c r="V41" s="65"/>
    </row>
    <row r="42" spans="1:22" ht="25.5">
      <c r="A42" s="21" t="s">
        <v>57</v>
      </c>
      <c r="B42" s="91" t="s">
        <v>128</v>
      </c>
      <c r="C42" s="64"/>
      <c r="D42" s="54"/>
      <c r="E42" s="54"/>
      <c r="F42" s="54">
        <v>1.41</v>
      </c>
      <c r="G42" s="54">
        <v>1.41</v>
      </c>
      <c r="H42" s="54"/>
      <c r="I42" s="54"/>
      <c r="J42" s="54"/>
      <c r="K42" s="54"/>
      <c r="L42" s="65"/>
      <c r="M42" s="64"/>
      <c r="N42" s="54"/>
      <c r="O42" s="54"/>
      <c r="P42" s="54"/>
      <c r="Q42" s="54"/>
      <c r="R42" s="54"/>
      <c r="S42" s="54"/>
      <c r="T42" s="54"/>
      <c r="U42" s="54"/>
      <c r="V42" s="65"/>
    </row>
    <row r="43" spans="1:22" ht="25.5">
      <c r="A43" s="21" t="s">
        <v>58</v>
      </c>
      <c r="B43" s="91" t="s">
        <v>131</v>
      </c>
      <c r="C43" s="64"/>
      <c r="D43" s="54"/>
      <c r="E43" s="54"/>
      <c r="F43" s="54">
        <v>1.25</v>
      </c>
      <c r="G43" s="54">
        <v>1.25</v>
      </c>
      <c r="H43" s="54"/>
      <c r="I43" s="54"/>
      <c r="J43" s="54"/>
      <c r="K43" s="54"/>
      <c r="L43" s="65"/>
      <c r="M43" s="64"/>
      <c r="N43" s="54"/>
      <c r="O43" s="54"/>
      <c r="P43" s="54"/>
      <c r="Q43" s="54"/>
      <c r="R43" s="54"/>
      <c r="S43" s="54"/>
      <c r="T43" s="54"/>
      <c r="U43" s="54"/>
      <c r="V43" s="65"/>
    </row>
    <row r="44" spans="1:22" ht="25.5">
      <c r="A44" s="21" t="s">
        <v>59</v>
      </c>
      <c r="B44" s="91" t="s">
        <v>132</v>
      </c>
      <c r="C44" s="64"/>
      <c r="D44" s="54"/>
      <c r="E44" s="54"/>
      <c r="F44" s="54">
        <v>0.9</v>
      </c>
      <c r="G44" s="54">
        <v>0.9</v>
      </c>
      <c r="H44" s="54"/>
      <c r="I44" s="54"/>
      <c r="J44" s="54"/>
      <c r="K44" s="54"/>
      <c r="L44" s="65"/>
      <c r="M44" s="64"/>
      <c r="N44" s="54"/>
      <c r="O44" s="54"/>
      <c r="P44" s="54"/>
      <c r="Q44" s="54"/>
      <c r="R44" s="54"/>
      <c r="S44" s="54"/>
      <c r="T44" s="54"/>
      <c r="U44" s="54"/>
      <c r="V44" s="65"/>
    </row>
    <row r="45" spans="1:22" ht="25.5">
      <c r="A45" s="21" t="s">
        <v>60</v>
      </c>
      <c r="B45" s="91" t="s">
        <v>133</v>
      </c>
      <c r="C45" s="64"/>
      <c r="D45" s="54"/>
      <c r="E45" s="54"/>
      <c r="F45" s="54">
        <v>1.24</v>
      </c>
      <c r="G45" s="54">
        <v>1.24</v>
      </c>
      <c r="H45" s="54"/>
      <c r="I45" s="54"/>
      <c r="J45" s="54"/>
      <c r="K45" s="54"/>
      <c r="L45" s="65"/>
      <c r="M45" s="64"/>
      <c r="N45" s="54"/>
      <c r="O45" s="54"/>
      <c r="P45" s="54"/>
      <c r="Q45" s="54"/>
      <c r="R45" s="54"/>
      <c r="S45" s="54"/>
      <c r="T45" s="54"/>
      <c r="U45" s="54"/>
      <c r="V45" s="65"/>
    </row>
    <row r="46" spans="1:22" ht="25.5">
      <c r="A46" s="21" t="s">
        <v>74</v>
      </c>
      <c r="B46" s="91" t="s">
        <v>134</v>
      </c>
      <c r="C46" s="64"/>
      <c r="D46" s="54"/>
      <c r="E46" s="54"/>
      <c r="F46" s="54"/>
      <c r="G46" s="54">
        <v>1</v>
      </c>
      <c r="H46" s="54"/>
      <c r="I46" s="54"/>
      <c r="J46" s="54">
        <v>0.97</v>
      </c>
      <c r="K46" s="54"/>
      <c r="L46" s="65">
        <v>0.97</v>
      </c>
      <c r="M46" s="64"/>
      <c r="N46" s="54"/>
      <c r="O46" s="54"/>
      <c r="P46" s="54"/>
      <c r="Q46" s="54"/>
      <c r="R46" s="54"/>
      <c r="S46" s="54"/>
      <c r="T46" s="54"/>
      <c r="U46" s="54"/>
      <c r="V46" s="65"/>
    </row>
    <row r="47" spans="1:22" ht="25.5">
      <c r="A47" s="21" t="s">
        <v>75</v>
      </c>
      <c r="B47" s="91" t="s">
        <v>217</v>
      </c>
      <c r="C47" s="64"/>
      <c r="D47" s="54"/>
      <c r="E47" s="54"/>
      <c r="F47" s="54"/>
      <c r="G47" s="54">
        <v>0.31</v>
      </c>
      <c r="H47" s="54"/>
      <c r="I47" s="54"/>
      <c r="J47" s="54">
        <v>0.64</v>
      </c>
      <c r="K47" s="54"/>
      <c r="L47" s="65">
        <v>0.64</v>
      </c>
      <c r="M47" s="64"/>
      <c r="N47" s="54"/>
      <c r="O47" s="54"/>
      <c r="P47" s="54"/>
      <c r="Q47" s="54"/>
      <c r="R47" s="54"/>
      <c r="S47" s="54"/>
      <c r="T47" s="54"/>
      <c r="U47" s="54"/>
      <c r="V47" s="65"/>
    </row>
    <row r="48" spans="1:22" ht="15.75">
      <c r="A48" s="21" t="s">
        <v>81</v>
      </c>
      <c r="B48" s="91" t="s">
        <v>242</v>
      </c>
      <c r="C48" s="64"/>
      <c r="D48" s="54"/>
      <c r="E48" s="54"/>
      <c r="F48" s="54"/>
      <c r="G48" s="54">
        <v>0</v>
      </c>
      <c r="H48" s="54"/>
      <c r="I48" s="13"/>
      <c r="J48" s="54"/>
      <c r="K48" s="54">
        <v>0.033</v>
      </c>
      <c r="L48" s="65">
        <v>0.033</v>
      </c>
      <c r="M48" s="64"/>
      <c r="N48" s="54"/>
      <c r="O48" s="54"/>
      <c r="P48" s="54"/>
      <c r="Q48" s="54"/>
      <c r="R48" s="54"/>
      <c r="S48" s="54"/>
      <c r="T48" s="54"/>
      <c r="U48" s="54"/>
      <c r="V48" s="65"/>
    </row>
    <row r="49" spans="1:22" ht="15.75">
      <c r="A49" s="21" t="s">
        <v>82</v>
      </c>
      <c r="B49" s="91" t="s">
        <v>171</v>
      </c>
      <c r="C49" s="64"/>
      <c r="D49" s="54"/>
      <c r="E49" s="54"/>
      <c r="F49" s="54"/>
      <c r="G49" s="54">
        <v>0</v>
      </c>
      <c r="H49" s="54"/>
      <c r="I49" s="54"/>
      <c r="J49" s="54">
        <v>0.57</v>
      </c>
      <c r="K49" s="54"/>
      <c r="L49" s="65">
        <v>0.57</v>
      </c>
      <c r="M49" s="64"/>
      <c r="N49" s="54"/>
      <c r="O49" s="54"/>
      <c r="P49" s="54"/>
      <c r="Q49" s="54"/>
      <c r="R49" s="54"/>
      <c r="S49" s="54"/>
      <c r="T49" s="54"/>
      <c r="U49" s="54"/>
      <c r="V49" s="65"/>
    </row>
    <row r="50" spans="1:22" ht="25.5">
      <c r="A50" s="21" t="s">
        <v>83</v>
      </c>
      <c r="B50" s="91" t="s">
        <v>185</v>
      </c>
      <c r="C50" s="64"/>
      <c r="D50" s="54"/>
      <c r="E50" s="54"/>
      <c r="F50" s="54"/>
      <c r="G50" s="54">
        <v>0</v>
      </c>
      <c r="H50" s="54"/>
      <c r="I50" s="54"/>
      <c r="J50" s="54"/>
      <c r="K50" s="54">
        <v>0.12</v>
      </c>
      <c r="L50" s="65">
        <v>0.12</v>
      </c>
      <c r="M50" s="64"/>
      <c r="N50" s="54"/>
      <c r="O50" s="54"/>
      <c r="P50" s="54"/>
      <c r="Q50" s="54"/>
      <c r="R50" s="54"/>
      <c r="S50" s="54"/>
      <c r="T50" s="54"/>
      <c r="U50" s="54"/>
      <c r="V50" s="65"/>
    </row>
    <row r="51" spans="1:22" ht="25.5">
      <c r="A51" s="21" t="s">
        <v>84</v>
      </c>
      <c r="B51" s="91" t="s">
        <v>186</v>
      </c>
      <c r="C51" s="64"/>
      <c r="D51" s="54"/>
      <c r="E51" s="54"/>
      <c r="F51" s="54"/>
      <c r="G51" s="54">
        <v>0</v>
      </c>
      <c r="H51" s="54"/>
      <c r="I51" s="54"/>
      <c r="J51" s="54"/>
      <c r="K51" s="54">
        <v>0.12</v>
      </c>
      <c r="L51" s="65">
        <v>0.12</v>
      </c>
      <c r="M51" s="64"/>
      <c r="N51" s="54"/>
      <c r="O51" s="54"/>
      <c r="P51" s="54"/>
      <c r="Q51" s="54"/>
      <c r="R51" s="54"/>
      <c r="S51" s="54"/>
      <c r="T51" s="54"/>
      <c r="U51" s="54"/>
      <c r="V51" s="65"/>
    </row>
    <row r="52" spans="1:22" ht="25.5">
      <c r="A52" s="21" t="s">
        <v>85</v>
      </c>
      <c r="B52" s="91" t="s">
        <v>187</v>
      </c>
      <c r="C52" s="64"/>
      <c r="D52" s="54"/>
      <c r="E52" s="54"/>
      <c r="F52" s="54"/>
      <c r="G52" s="54">
        <v>0</v>
      </c>
      <c r="H52" s="54"/>
      <c r="I52" s="54"/>
      <c r="J52" s="54"/>
      <c r="K52" s="54">
        <v>0.1</v>
      </c>
      <c r="L52" s="65">
        <v>0.1</v>
      </c>
      <c r="M52" s="64"/>
      <c r="N52" s="54"/>
      <c r="O52" s="54"/>
      <c r="P52" s="54"/>
      <c r="Q52" s="54"/>
      <c r="R52" s="54"/>
      <c r="S52" s="54"/>
      <c r="T52" s="54"/>
      <c r="U52" s="54"/>
      <c r="V52" s="65"/>
    </row>
    <row r="53" spans="1:22" ht="25.5">
      <c r="A53" s="21" t="s">
        <v>86</v>
      </c>
      <c r="B53" s="91" t="s">
        <v>177</v>
      </c>
      <c r="C53" s="85"/>
      <c r="D53" s="75"/>
      <c r="E53" s="75"/>
      <c r="F53" s="75"/>
      <c r="G53" s="75">
        <v>0</v>
      </c>
      <c r="H53" s="75"/>
      <c r="I53" s="75"/>
      <c r="J53" s="75">
        <v>0.805</v>
      </c>
      <c r="K53" s="75"/>
      <c r="L53" s="86">
        <v>0.805</v>
      </c>
      <c r="M53" s="85"/>
      <c r="N53" s="75"/>
      <c r="O53" s="75"/>
      <c r="P53" s="75"/>
      <c r="Q53" s="75"/>
      <c r="R53" s="75"/>
      <c r="S53" s="75"/>
      <c r="T53" s="75"/>
      <c r="U53" s="75"/>
      <c r="V53" s="86"/>
    </row>
    <row r="54" spans="1:22" ht="15.75">
      <c r="A54" s="30"/>
      <c r="B54" s="93" t="s">
        <v>66</v>
      </c>
      <c r="C54" s="64"/>
      <c r="D54" s="54"/>
      <c r="E54" s="54"/>
      <c r="F54" s="54"/>
      <c r="G54" s="54"/>
      <c r="H54" s="54"/>
      <c r="I54" s="54"/>
      <c r="J54" s="54"/>
      <c r="K54" s="54"/>
      <c r="L54" s="65"/>
      <c r="M54" s="64"/>
      <c r="N54" s="54"/>
      <c r="O54" s="54"/>
      <c r="P54" s="54"/>
      <c r="Q54" s="54"/>
      <c r="R54" s="54"/>
      <c r="S54" s="54"/>
      <c r="T54" s="54"/>
      <c r="U54" s="54"/>
      <c r="V54" s="65"/>
    </row>
    <row r="55" spans="1:22" ht="63.75">
      <c r="A55" s="21" t="s">
        <v>87</v>
      </c>
      <c r="B55" s="91" t="s">
        <v>37</v>
      </c>
      <c r="C55" s="64"/>
      <c r="D55" s="54"/>
      <c r="E55" s="54">
        <v>11.87</v>
      </c>
      <c r="F55" s="54">
        <f>G55-E55</f>
        <v>8.000000000000002</v>
      </c>
      <c r="G55" s="54">
        <v>19.87</v>
      </c>
      <c r="H55" s="54">
        <v>4.85</v>
      </c>
      <c r="I55" s="54">
        <v>2.65</v>
      </c>
      <c r="J55" s="54">
        <v>0.97</v>
      </c>
      <c r="K55" s="54"/>
      <c r="L55" s="76">
        <v>8.47</v>
      </c>
      <c r="M55" s="64"/>
      <c r="N55" s="54"/>
      <c r="O55" s="54"/>
      <c r="P55" s="54"/>
      <c r="Q55" s="54"/>
      <c r="R55" s="54"/>
      <c r="S55" s="54"/>
      <c r="T55" s="54"/>
      <c r="U55" s="54"/>
      <c r="V55" s="65"/>
    </row>
    <row r="56" spans="1:22" ht="25.5">
      <c r="A56" s="21" t="s">
        <v>168</v>
      </c>
      <c r="B56" s="91" t="s">
        <v>140</v>
      </c>
      <c r="C56" s="64"/>
      <c r="D56" s="54"/>
      <c r="E56" s="54">
        <v>0.25</v>
      </c>
      <c r="F56" s="54"/>
      <c r="G56" s="54">
        <v>0.25</v>
      </c>
      <c r="H56" s="54"/>
      <c r="I56" s="54"/>
      <c r="J56" s="54"/>
      <c r="K56" s="54">
        <v>0.256</v>
      </c>
      <c r="L56" s="65">
        <v>0.256</v>
      </c>
      <c r="M56" s="64"/>
      <c r="N56" s="54"/>
      <c r="O56" s="54"/>
      <c r="P56" s="54"/>
      <c r="Q56" s="54"/>
      <c r="R56" s="54"/>
      <c r="S56" s="54"/>
      <c r="T56" s="54"/>
      <c r="U56" s="54"/>
      <c r="V56" s="65"/>
    </row>
    <row r="57" spans="1:22" ht="25.5">
      <c r="A57" s="21" t="s">
        <v>169</v>
      </c>
      <c r="B57" s="91" t="s">
        <v>141</v>
      </c>
      <c r="C57" s="64"/>
      <c r="D57" s="54"/>
      <c r="E57" s="54">
        <v>0.09</v>
      </c>
      <c r="F57" s="54"/>
      <c r="G57" s="54">
        <v>0.09</v>
      </c>
      <c r="H57" s="54"/>
      <c r="I57" s="54"/>
      <c r="J57" s="54"/>
      <c r="K57" s="54">
        <v>0.122</v>
      </c>
      <c r="L57" s="65">
        <v>0.122</v>
      </c>
      <c r="M57" s="64"/>
      <c r="N57" s="54"/>
      <c r="O57" s="54"/>
      <c r="P57" s="54"/>
      <c r="Q57" s="54"/>
      <c r="R57" s="54"/>
      <c r="S57" s="54"/>
      <c r="T57" s="54"/>
      <c r="U57" s="54"/>
      <c r="V57" s="65"/>
    </row>
    <row r="58" spans="1:22" ht="25.5">
      <c r="A58" s="21" t="s">
        <v>170</v>
      </c>
      <c r="B58" s="91" t="s">
        <v>142</v>
      </c>
      <c r="C58" s="64"/>
      <c r="D58" s="54"/>
      <c r="E58" s="54"/>
      <c r="F58" s="54"/>
      <c r="G58" s="54"/>
      <c r="H58" s="54"/>
      <c r="I58" s="54"/>
      <c r="J58" s="54">
        <v>0.64</v>
      </c>
      <c r="K58" s="54"/>
      <c r="L58" s="65">
        <v>0.64</v>
      </c>
      <c r="M58" s="64"/>
      <c r="N58" s="54"/>
      <c r="O58" s="54"/>
      <c r="P58" s="54"/>
      <c r="Q58" s="54"/>
      <c r="R58" s="54"/>
      <c r="S58" s="54"/>
      <c r="T58" s="54"/>
      <c r="U58" s="54"/>
      <c r="V58" s="65"/>
    </row>
    <row r="59" spans="1:22" ht="25.5">
      <c r="A59" s="21" t="s">
        <v>184</v>
      </c>
      <c r="B59" s="91" t="s">
        <v>143</v>
      </c>
      <c r="C59" s="64"/>
      <c r="D59" s="54"/>
      <c r="E59" s="54"/>
      <c r="F59" s="54"/>
      <c r="G59" s="54"/>
      <c r="H59" s="54"/>
      <c r="I59" s="54"/>
      <c r="J59" s="54"/>
      <c r="K59" s="54"/>
      <c r="L59" s="65"/>
      <c r="M59" s="64"/>
      <c r="N59" s="54"/>
      <c r="O59" s="54"/>
      <c r="P59" s="54"/>
      <c r="Q59" s="54"/>
      <c r="R59" s="54"/>
      <c r="S59" s="54"/>
      <c r="T59" s="54"/>
      <c r="U59" s="54"/>
      <c r="V59" s="65"/>
    </row>
    <row r="60" spans="1:22" ht="25.5">
      <c r="A60" s="21" t="s">
        <v>173</v>
      </c>
      <c r="B60" s="91" t="s">
        <v>144</v>
      </c>
      <c r="C60" s="64"/>
      <c r="D60" s="54"/>
      <c r="E60" s="54"/>
      <c r="F60" s="54"/>
      <c r="G60" s="54"/>
      <c r="H60" s="54"/>
      <c r="I60" s="54"/>
      <c r="J60" s="54"/>
      <c r="K60" s="54">
        <v>0.17</v>
      </c>
      <c r="L60" s="65">
        <v>0.17</v>
      </c>
      <c r="M60" s="64"/>
      <c r="N60" s="54"/>
      <c r="O60" s="54"/>
      <c r="P60" s="54"/>
      <c r="Q60" s="54"/>
      <c r="R60" s="54"/>
      <c r="S60" s="54"/>
      <c r="T60" s="54"/>
      <c r="U60" s="54"/>
      <c r="V60" s="65"/>
    </row>
    <row r="61" spans="1:22" ht="25.5">
      <c r="A61" s="21" t="s">
        <v>174</v>
      </c>
      <c r="B61" s="91" t="s">
        <v>152</v>
      </c>
      <c r="C61" s="54">
        <v>0.1</v>
      </c>
      <c r="D61" s="54"/>
      <c r="E61" s="54"/>
      <c r="F61" s="54"/>
      <c r="G61" s="54">
        <v>0.1</v>
      </c>
      <c r="H61" s="54">
        <v>0.1</v>
      </c>
      <c r="I61" s="54"/>
      <c r="J61" s="54"/>
      <c r="K61" s="54"/>
      <c r="L61" s="65">
        <v>0.1</v>
      </c>
      <c r="M61" s="64"/>
      <c r="N61" s="54"/>
      <c r="O61" s="54"/>
      <c r="P61" s="54"/>
      <c r="Q61" s="54"/>
      <c r="R61" s="54">
        <v>0.1</v>
      </c>
      <c r="S61" s="54"/>
      <c r="T61" s="54"/>
      <c r="U61" s="54"/>
      <c r="V61" s="65">
        <v>0.1</v>
      </c>
    </row>
    <row r="62" spans="1:22" ht="25.5">
      <c r="A62" s="21" t="s">
        <v>175</v>
      </c>
      <c r="B62" s="91" t="s">
        <v>166</v>
      </c>
      <c r="C62" s="64"/>
      <c r="D62" s="54"/>
      <c r="E62" s="54">
        <v>0.13</v>
      </c>
      <c r="F62" s="54"/>
      <c r="G62" s="54">
        <v>0.13</v>
      </c>
      <c r="H62" s="54"/>
      <c r="I62" s="54"/>
      <c r="J62" s="54">
        <v>0.055</v>
      </c>
      <c r="K62" s="54"/>
      <c r="L62" s="65">
        <v>0.055</v>
      </c>
      <c r="M62" s="64"/>
      <c r="N62" s="54"/>
      <c r="O62" s="54"/>
      <c r="P62" s="54"/>
      <c r="Q62" s="54"/>
      <c r="R62" s="54"/>
      <c r="S62" s="54"/>
      <c r="T62" s="54"/>
      <c r="U62" s="54"/>
      <c r="V62" s="65"/>
    </row>
    <row r="63" spans="1:22" ht="38.25">
      <c r="A63" s="21" t="s">
        <v>188</v>
      </c>
      <c r="B63" s="91" t="s">
        <v>176</v>
      </c>
      <c r="C63" s="64"/>
      <c r="D63" s="54"/>
      <c r="E63" s="54">
        <v>0.161</v>
      </c>
      <c r="F63" s="54"/>
      <c r="G63" s="54">
        <v>0.161</v>
      </c>
      <c r="H63" s="54"/>
      <c r="I63" s="54"/>
      <c r="J63" s="54"/>
      <c r="K63" s="54">
        <v>0.49</v>
      </c>
      <c r="L63" s="65">
        <v>0.49</v>
      </c>
      <c r="M63" s="64"/>
      <c r="N63" s="54"/>
      <c r="O63" s="54"/>
      <c r="P63" s="54"/>
      <c r="Q63" s="54"/>
      <c r="R63" s="54"/>
      <c r="S63" s="54"/>
      <c r="T63" s="54"/>
      <c r="U63" s="54"/>
      <c r="V63" s="65"/>
    </row>
    <row r="64" spans="1:22" ht="25.5">
      <c r="A64" s="21" t="s">
        <v>190</v>
      </c>
      <c r="B64" s="91" t="s">
        <v>167</v>
      </c>
      <c r="C64" s="64"/>
      <c r="D64" s="54"/>
      <c r="E64" s="54">
        <v>0.15</v>
      </c>
      <c r="F64" s="54"/>
      <c r="G64" s="54">
        <v>0.15</v>
      </c>
      <c r="H64" s="54"/>
      <c r="I64" s="6"/>
      <c r="J64" s="54">
        <v>0.23</v>
      </c>
      <c r="K64" s="54"/>
      <c r="L64" s="65">
        <v>0.23</v>
      </c>
      <c r="M64" s="64"/>
      <c r="N64" s="54"/>
      <c r="O64" s="54"/>
      <c r="P64" s="54"/>
      <c r="Q64" s="54"/>
      <c r="R64" s="54"/>
      <c r="S64" s="54"/>
      <c r="T64" s="54"/>
      <c r="U64" s="54"/>
      <c r="V64" s="65"/>
    </row>
    <row r="65" spans="1:22" ht="25.5">
      <c r="A65" s="21" t="s">
        <v>191</v>
      </c>
      <c r="B65" s="91" t="s">
        <v>193</v>
      </c>
      <c r="C65" s="64"/>
      <c r="D65" s="54"/>
      <c r="E65" s="54"/>
      <c r="F65" s="54"/>
      <c r="G65" s="54"/>
      <c r="H65" s="54"/>
      <c r="I65" s="54"/>
      <c r="J65" s="54"/>
      <c r="K65" s="54"/>
      <c r="L65" s="65"/>
      <c r="M65" s="64"/>
      <c r="N65" s="54"/>
      <c r="O65" s="54"/>
      <c r="P65" s="54"/>
      <c r="Q65" s="54"/>
      <c r="R65" s="54"/>
      <c r="S65" s="54"/>
      <c r="T65" s="54"/>
      <c r="U65" s="54"/>
      <c r="V65" s="65"/>
    </row>
    <row r="66" spans="1:22" ht="25.5">
      <c r="A66" s="21" t="s">
        <v>192</v>
      </c>
      <c r="B66" s="91" t="s">
        <v>194</v>
      </c>
      <c r="C66" s="64"/>
      <c r="D66" s="54"/>
      <c r="E66" s="54"/>
      <c r="F66" s="54"/>
      <c r="G66" s="54"/>
      <c r="H66" s="54"/>
      <c r="I66" s="54"/>
      <c r="J66" s="54"/>
      <c r="K66" s="54"/>
      <c r="L66" s="65"/>
      <c r="M66" s="64"/>
      <c r="N66" s="54"/>
      <c r="O66" s="54"/>
      <c r="P66" s="54"/>
      <c r="Q66" s="54"/>
      <c r="R66" s="54"/>
      <c r="S66" s="54"/>
      <c r="T66" s="54"/>
      <c r="U66" s="54"/>
      <c r="V66" s="65"/>
    </row>
    <row r="67" spans="1:22" ht="25.5">
      <c r="A67" s="21" t="s">
        <v>207</v>
      </c>
      <c r="B67" s="91" t="s">
        <v>195</v>
      </c>
      <c r="C67" s="64"/>
      <c r="D67" s="54"/>
      <c r="E67" s="54"/>
      <c r="F67" s="54"/>
      <c r="G67" s="54"/>
      <c r="H67" s="54"/>
      <c r="I67" s="54"/>
      <c r="J67" s="54"/>
      <c r="K67" s="54"/>
      <c r="L67" s="65"/>
      <c r="M67" s="64"/>
      <c r="N67" s="54"/>
      <c r="O67" s="54"/>
      <c r="P67" s="54"/>
      <c r="Q67" s="54"/>
      <c r="R67" s="54"/>
      <c r="S67" s="54"/>
      <c r="T67" s="54"/>
      <c r="U67" s="54"/>
      <c r="V67" s="65"/>
    </row>
    <row r="68" spans="1:22" ht="15.75">
      <c r="A68" s="21" t="s">
        <v>208</v>
      </c>
      <c r="B68" s="91" t="s">
        <v>196</v>
      </c>
      <c r="C68" s="64"/>
      <c r="D68" s="54"/>
      <c r="E68" s="54"/>
      <c r="F68" s="54"/>
      <c r="G68" s="54"/>
      <c r="H68" s="54"/>
      <c r="I68" s="54"/>
      <c r="J68" s="54"/>
      <c r="K68" s="54"/>
      <c r="L68" s="65"/>
      <c r="M68" s="64"/>
      <c r="N68" s="54"/>
      <c r="O68" s="54"/>
      <c r="P68" s="54"/>
      <c r="Q68" s="54"/>
      <c r="R68" s="54"/>
      <c r="S68" s="54"/>
      <c r="T68" s="54"/>
      <c r="U68" s="54"/>
      <c r="V68" s="65"/>
    </row>
    <row r="69" spans="1:22" ht="15.75">
      <c r="A69" s="21" t="s">
        <v>209</v>
      </c>
      <c r="B69" s="91" t="s">
        <v>197</v>
      </c>
      <c r="C69" s="64"/>
      <c r="D69" s="54"/>
      <c r="E69" s="54"/>
      <c r="F69" s="54"/>
      <c r="G69" s="54"/>
      <c r="H69" s="54"/>
      <c r="I69" s="54"/>
      <c r="J69" s="54"/>
      <c r="K69" s="54">
        <v>0.03</v>
      </c>
      <c r="L69" s="65">
        <v>0.03</v>
      </c>
      <c r="M69" s="64"/>
      <c r="N69" s="54"/>
      <c r="O69" s="54"/>
      <c r="P69" s="54"/>
      <c r="Q69" s="54"/>
      <c r="R69" s="54"/>
      <c r="S69" s="54"/>
      <c r="T69" s="54"/>
      <c r="U69" s="54">
        <v>0.03</v>
      </c>
      <c r="V69" s="65">
        <v>0.03</v>
      </c>
    </row>
    <row r="70" spans="1:22" ht="25.5">
      <c r="A70" s="21" t="s">
        <v>210</v>
      </c>
      <c r="B70" s="91" t="s">
        <v>198</v>
      </c>
      <c r="C70" s="64"/>
      <c r="D70" s="54"/>
      <c r="E70" s="54"/>
      <c r="F70" s="54"/>
      <c r="G70" s="54"/>
      <c r="H70" s="54"/>
      <c r="I70" s="54"/>
      <c r="J70" s="54"/>
      <c r="K70" s="54">
        <v>0.05</v>
      </c>
      <c r="L70" s="65">
        <v>0.05</v>
      </c>
      <c r="M70" s="64"/>
      <c r="N70" s="54"/>
      <c r="O70" s="54"/>
      <c r="P70" s="54"/>
      <c r="Q70" s="54"/>
      <c r="R70" s="54"/>
      <c r="S70" s="54"/>
      <c r="T70" s="54"/>
      <c r="U70" s="54">
        <v>0.05</v>
      </c>
      <c r="V70" s="65">
        <v>0.05</v>
      </c>
    </row>
    <row r="71" spans="1:22" ht="15.75">
      <c r="A71" s="34" t="s">
        <v>96</v>
      </c>
      <c r="B71" s="92" t="s">
        <v>1</v>
      </c>
      <c r="C71" s="64"/>
      <c r="D71" s="54"/>
      <c r="E71" s="54"/>
      <c r="F71" s="54"/>
      <c r="G71" s="54"/>
      <c r="H71" s="54"/>
      <c r="I71" s="54"/>
      <c r="J71" s="54"/>
      <c r="K71" s="54"/>
      <c r="L71" s="65"/>
      <c r="M71" s="64"/>
      <c r="N71" s="54"/>
      <c r="O71" s="54"/>
      <c r="P71" s="54"/>
      <c r="Q71" s="54"/>
      <c r="R71" s="54"/>
      <c r="S71" s="54"/>
      <c r="T71" s="54"/>
      <c r="U71" s="54"/>
      <c r="V71" s="65"/>
    </row>
    <row r="72" spans="1:22" ht="38.25">
      <c r="A72" s="21" t="s">
        <v>61</v>
      </c>
      <c r="B72" s="90" t="s">
        <v>70</v>
      </c>
      <c r="C72" s="64"/>
      <c r="D72" s="54"/>
      <c r="E72" s="54"/>
      <c r="F72" s="54">
        <v>1</v>
      </c>
      <c r="G72" s="54">
        <v>1</v>
      </c>
      <c r="H72" s="54"/>
      <c r="I72" s="54"/>
      <c r="J72" s="54"/>
      <c r="K72" s="54">
        <v>1</v>
      </c>
      <c r="L72" s="65">
        <v>1</v>
      </c>
      <c r="M72" s="64"/>
      <c r="N72" s="54"/>
      <c r="O72" s="54"/>
      <c r="P72" s="54">
        <v>1</v>
      </c>
      <c r="Q72" s="54">
        <v>1</v>
      </c>
      <c r="R72" s="54"/>
      <c r="S72" s="54"/>
      <c r="T72" s="54"/>
      <c r="U72" s="54">
        <v>1</v>
      </c>
      <c r="V72" s="65">
        <v>1</v>
      </c>
    </row>
    <row r="73" spans="1:22" ht="51">
      <c r="A73" s="21" t="s">
        <v>62</v>
      </c>
      <c r="B73" s="91" t="s">
        <v>80</v>
      </c>
      <c r="C73" s="64"/>
      <c r="D73" s="54"/>
      <c r="E73" s="54"/>
      <c r="F73" s="54">
        <v>1</v>
      </c>
      <c r="G73" s="54">
        <v>1</v>
      </c>
      <c r="H73" s="54"/>
      <c r="I73" s="54"/>
      <c r="J73" s="54"/>
      <c r="K73" s="54">
        <v>1</v>
      </c>
      <c r="L73" s="65">
        <v>1</v>
      </c>
      <c r="M73" s="64"/>
      <c r="N73" s="54"/>
      <c r="O73" s="54"/>
      <c r="P73" s="54">
        <v>1</v>
      </c>
      <c r="Q73" s="54">
        <v>1</v>
      </c>
      <c r="R73" s="54"/>
      <c r="S73" s="54"/>
      <c r="T73" s="54"/>
      <c r="U73" s="54">
        <v>1</v>
      </c>
      <c r="V73" s="65">
        <v>1</v>
      </c>
    </row>
    <row r="74" spans="1:22" ht="25.5">
      <c r="A74" s="21" t="s">
        <v>63</v>
      </c>
      <c r="B74" s="91" t="s">
        <v>135</v>
      </c>
      <c r="C74" s="64"/>
      <c r="D74" s="54"/>
      <c r="E74" s="54">
        <v>1</v>
      </c>
      <c r="F74" s="66"/>
      <c r="G74" s="100">
        <v>1</v>
      </c>
      <c r="H74" s="54"/>
      <c r="I74" s="54">
        <v>1</v>
      </c>
      <c r="J74" s="54"/>
      <c r="K74" s="54"/>
      <c r="L74" s="65">
        <v>1</v>
      </c>
      <c r="M74" s="64"/>
      <c r="N74" s="54"/>
      <c r="O74" s="54">
        <v>1</v>
      </c>
      <c r="P74" s="54"/>
      <c r="Q74" s="54">
        <v>1</v>
      </c>
      <c r="R74" s="54"/>
      <c r="S74" s="54">
        <v>1</v>
      </c>
      <c r="T74" s="54"/>
      <c r="U74" s="54"/>
      <c r="V74" s="65">
        <v>1</v>
      </c>
    </row>
    <row r="75" spans="1:22" ht="51">
      <c r="A75" s="21" t="s">
        <v>178</v>
      </c>
      <c r="B75" s="91" t="s">
        <v>180</v>
      </c>
      <c r="C75" s="64"/>
      <c r="D75" s="54"/>
      <c r="E75" s="54"/>
      <c r="F75" s="54">
        <v>1</v>
      </c>
      <c r="G75" s="54">
        <v>1</v>
      </c>
      <c r="H75" s="54"/>
      <c r="I75" s="54"/>
      <c r="J75" s="54"/>
      <c r="K75" s="54">
        <v>1</v>
      </c>
      <c r="L75" s="65">
        <v>1</v>
      </c>
      <c r="M75" s="64"/>
      <c r="N75" s="54"/>
      <c r="O75" s="54"/>
      <c r="P75" s="54"/>
      <c r="Q75" s="54"/>
      <c r="R75" s="54"/>
      <c r="S75" s="54"/>
      <c r="T75" s="54"/>
      <c r="U75" s="54"/>
      <c r="V75" s="65"/>
    </row>
    <row r="76" spans="1:22" ht="25.5">
      <c r="A76" s="21" t="s">
        <v>179</v>
      </c>
      <c r="B76" s="91" t="s">
        <v>163</v>
      </c>
      <c r="C76" s="64"/>
      <c r="D76" s="54"/>
      <c r="E76" s="54"/>
      <c r="F76" s="54">
        <v>1</v>
      </c>
      <c r="G76" s="54">
        <v>1</v>
      </c>
      <c r="H76" s="54"/>
      <c r="I76" s="54"/>
      <c r="J76" s="54"/>
      <c r="K76" s="54">
        <v>1</v>
      </c>
      <c r="L76" s="65">
        <v>1</v>
      </c>
      <c r="M76" s="64"/>
      <c r="N76" s="54"/>
      <c r="O76" s="54"/>
      <c r="P76" s="54"/>
      <c r="Q76" s="54"/>
      <c r="R76" s="54"/>
      <c r="S76" s="54"/>
      <c r="T76" s="54"/>
      <c r="U76" s="54"/>
      <c r="V76" s="65"/>
    </row>
    <row r="77" spans="1:22" ht="15.75">
      <c r="A77" s="30" t="s">
        <v>97</v>
      </c>
      <c r="B77" s="93" t="s">
        <v>69</v>
      </c>
      <c r="C77" s="64"/>
      <c r="D77" s="54"/>
      <c r="E77" s="54"/>
      <c r="F77" s="54"/>
      <c r="G77" s="54"/>
      <c r="H77" s="54"/>
      <c r="I77" s="54"/>
      <c r="J77" s="54"/>
      <c r="K77" s="54"/>
      <c r="L77" s="65"/>
      <c r="M77" s="64"/>
      <c r="N77" s="54"/>
      <c r="O77" s="54"/>
      <c r="P77" s="54"/>
      <c r="Q77" s="54"/>
      <c r="R77" s="54"/>
      <c r="S77" s="54"/>
      <c r="T77" s="54"/>
      <c r="U77" s="54"/>
      <c r="V77" s="65"/>
    </row>
    <row r="78" spans="1:22" ht="25.5" customHeight="1">
      <c r="A78" s="21" t="s">
        <v>71</v>
      </c>
      <c r="B78" s="94" t="s">
        <v>78</v>
      </c>
      <c r="C78" s="64">
        <v>1</v>
      </c>
      <c r="D78" s="54"/>
      <c r="E78" s="54"/>
      <c r="F78" s="67"/>
      <c r="G78" s="67">
        <v>1</v>
      </c>
      <c r="H78" s="54">
        <v>1</v>
      </c>
      <c r="I78" s="54"/>
      <c r="J78" s="54"/>
      <c r="K78" s="67"/>
      <c r="L78" s="67">
        <v>1</v>
      </c>
      <c r="M78" s="64">
        <v>1</v>
      </c>
      <c r="N78" s="54"/>
      <c r="O78" s="54"/>
      <c r="P78" s="67"/>
      <c r="Q78" s="67">
        <v>1</v>
      </c>
      <c r="R78" s="54"/>
      <c r="S78" s="54"/>
      <c r="T78" s="54"/>
      <c r="U78" s="54"/>
      <c r="V78" s="65"/>
    </row>
    <row r="79" spans="1:22" ht="27" customHeight="1">
      <c r="A79" s="21" t="s">
        <v>72</v>
      </c>
      <c r="B79" s="94" t="s">
        <v>79</v>
      </c>
      <c r="C79" s="64">
        <v>1</v>
      </c>
      <c r="D79" s="54"/>
      <c r="E79" s="54">
        <v>1</v>
      </c>
      <c r="F79" s="67"/>
      <c r="G79" s="67">
        <v>2</v>
      </c>
      <c r="H79" s="54">
        <v>1</v>
      </c>
      <c r="I79" s="54"/>
      <c r="J79" s="54"/>
      <c r="K79" s="67"/>
      <c r="L79" s="67">
        <v>2</v>
      </c>
      <c r="M79" s="64">
        <v>1</v>
      </c>
      <c r="N79" s="54"/>
      <c r="O79" s="54">
        <v>1</v>
      </c>
      <c r="P79" s="67"/>
      <c r="Q79" s="67">
        <v>2</v>
      </c>
      <c r="R79" s="54"/>
      <c r="S79" s="54"/>
      <c r="T79" s="54"/>
      <c r="U79" s="54"/>
      <c r="V79" s="65"/>
    </row>
    <row r="80" spans="1:22" ht="25.5" customHeight="1">
      <c r="A80" s="21" t="s">
        <v>73</v>
      </c>
      <c r="B80" s="95" t="s">
        <v>126</v>
      </c>
      <c r="C80" s="64">
        <v>1</v>
      </c>
      <c r="D80" s="54"/>
      <c r="E80" s="54"/>
      <c r="F80" s="67"/>
      <c r="G80" s="67">
        <v>1</v>
      </c>
      <c r="H80" s="54">
        <v>1</v>
      </c>
      <c r="I80" s="54"/>
      <c r="J80" s="54"/>
      <c r="K80" s="67"/>
      <c r="L80" s="67">
        <v>1</v>
      </c>
      <c r="M80" s="64">
        <v>1</v>
      </c>
      <c r="N80" s="54"/>
      <c r="O80" s="54"/>
      <c r="P80" s="67"/>
      <c r="Q80" s="67">
        <v>1</v>
      </c>
      <c r="R80" s="54"/>
      <c r="S80" s="54"/>
      <c r="T80" s="54"/>
      <c r="U80" s="54"/>
      <c r="V80" s="65"/>
    </row>
    <row r="81" spans="1:22" ht="38.25">
      <c r="A81" s="21" t="s">
        <v>182</v>
      </c>
      <c r="B81" s="90" t="s">
        <v>183</v>
      </c>
      <c r="C81" s="64"/>
      <c r="D81" s="54"/>
      <c r="E81" s="54"/>
      <c r="F81" s="68">
        <v>1</v>
      </c>
      <c r="G81" s="68">
        <v>1</v>
      </c>
      <c r="H81" s="54"/>
      <c r="I81" s="54"/>
      <c r="J81" s="54"/>
      <c r="K81" s="54">
        <v>1</v>
      </c>
      <c r="L81" s="65">
        <v>1</v>
      </c>
      <c r="M81" s="64"/>
      <c r="N81" s="54"/>
      <c r="O81" s="54"/>
      <c r="P81" s="54"/>
      <c r="Q81" s="54"/>
      <c r="R81" s="54"/>
      <c r="S81" s="54"/>
      <c r="T81" s="54"/>
      <c r="U81" s="54"/>
      <c r="V81" s="65"/>
    </row>
    <row r="82" spans="1:22" ht="90">
      <c r="A82" s="30" t="s">
        <v>98</v>
      </c>
      <c r="B82" s="96" t="s">
        <v>91</v>
      </c>
      <c r="C82" s="64">
        <v>0.5</v>
      </c>
      <c r="D82" s="54">
        <v>2.11</v>
      </c>
      <c r="E82" s="54">
        <v>2.12</v>
      </c>
      <c r="F82" s="54">
        <v>2.12</v>
      </c>
      <c r="G82" s="68">
        <v>6.85</v>
      </c>
      <c r="H82" s="54">
        <v>0.467</v>
      </c>
      <c r="I82" s="54">
        <v>2.056</v>
      </c>
      <c r="J82" s="54">
        <v>1.368</v>
      </c>
      <c r="K82" s="54">
        <v>2.458</v>
      </c>
      <c r="L82" s="65">
        <v>6.35</v>
      </c>
      <c r="M82" s="64"/>
      <c r="N82" s="54"/>
      <c r="O82" s="54"/>
      <c r="P82" s="54"/>
      <c r="Q82" s="54"/>
      <c r="R82" s="54"/>
      <c r="S82" s="54"/>
      <c r="T82" s="54"/>
      <c r="U82" s="54"/>
      <c r="V82" s="65"/>
    </row>
    <row r="83" spans="1:22" ht="90">
      <c r="A83" s="30" t="s">
        <v>108</v>
      </c>
      <c r="B83" s="31" t="s">
        <v>268</v>
      </c>
      <c r="C83" s="64"/>
      <c r="D83" s="54"/>
      <c r="E83" s="54"/>
      <c r="F83" s="54"/>
      <c r="G83" s="68"/>
      <c r="H83" s="54">
        <v>1.16</v>
      </c>
      <c r="I83" s="54">
        <v>2.697</v>
      </c>
      <c r="J83" s="54">
        <v>1.586</v>
      </c>
      <c r="K83" s="114" t="s">
        <v>269</v>
      </c>
      <c r="L83" s="115" t="s">
        <v>270</v>
      </c>
      <c r="M83" s="64"/>
      <c r="N83" s="54"/>
      <c r="O83" s="54"/>
      <c r="P83" s="54"/>
      <c r="Q83" s="54"/>
      <c r="R83" s="54"/>
      <c r="S83" s="54"/>
      <c r="T83" s="54"/>
      <c r="U83" s="54"/>
      <c r="V83" s="65"/>
    </row>
    <row r="84" spans="1:22" ht="25.5">
      <c r="A84" s="30" t="s">
        <v>111</v>
      </c>
      <c r="B84" s="93" t="str">
        <f>'[1]приложение 7.1'!B88</f>
        <v>Реконструкция системы отопления РП-10 кВ</v>
      </c>
      <c r="C84" s="64"/>
      <c r="D84" s="54"/>
      <c r="E84" s="54"/>
      <c r="F84" s="67"/>
      <c r="G84" s="67"/>
      <c r="H84" s="54"/>
      <c r="I84" s="54"/>
      <c r="J84" s="54"/>
      <c r="K84" s="54"/>
      <c r="L84" s="65"/>
      <c r="M84" s="64"/>
      <c r="N84" s="54"/>
      <c r="O84" s="54"/>
      <c r="P84" s="54"/>
      <c r="Q84" s="54"/>
      <c r="R84" s="54"/>
      <c r="S84" s="54"/>
      <c r="T84" s="54"/>
      <c r="U84" s="54"/>
      <c r="V84" s="65"/>
    </row>
    <row r="85" spans="1:22" ht="25.5">
      <c r="A85" s="21" t="s">
        <v>199</v>
      </c>
      <c r="B85" s="90" t="s">
        <v>153</v>
      </c>
      <c r="C85" s="64"/>
      <c r="D85" s="54"/>
      <c r="E85" s="54"/>
      <c r="F85" s="67"/>
      <c r="G85" s="67">
        <v>0</v>
      </c>
      <c r="H85" s="54">
        <v>0.159</v>
      </c>
      <c r="I85" s="54"/>
      <c r="J85" s="54"/>
      <c r="K85" s="54"/>
      <c r="L85" s="65">
        <v>0.159</v>
      </c>
      <c r="M85" s="64"/>
      <c r="N85" s="54"/>
      <c r="O85" s="54"/>
      <c r="P85" s="54"/>
      <c r="Q85" s="54"/>
      <c r="R85" s="54"/>
      <c r="S85" s="54"/>
      <c r="T85" s="54"/>
      <c r="U85" s="54"/>
      <c r="V85" s="65"/>
    </row>
    <row r="86" spans="1:22" ht="25.5">
      <c r="A86" s="21" t="s">
        <v>200</v>
      </c>
      <c r="B86" s="90" t="s">
        <v>154</v>
      </c>
      <c r="C86" s="64"/>
      <c r="D86" s="54"/>
      <c r="E86" s="54"/>
      <c r="F86" s="67"/>
      <c r="G86" s="67">
        <v>0</v>
      </c>
      <c r="H86" s="54">
        <v>0.065</v>
      </c>
      <c r="I86" s="54"/>
      <c r="J86" s="54"/>
      <c r="K86" s="54"/>
      <c r="L86" s="65">
        <v>0.065</v>
      </c>
      <c r="M86" s="64"/>
      <c r="N86" s="54"/>
      <c r="O86" s="54"/>
      <c r="P86" s="54"/>
      <c r="Q86" s="54"/>
      <c r="R86" s="54"/>
      <c r="S86" s="54"/>
      <c r="T86" s="54"/>
      <c r="U86" s="54"/>
      <c r="V86" s="65"/>
    </row>
    <row r="87" spans="1:22" ht="25.5">
      <c r="A87" s="21" t="s">
        <v>201</v>
      </c>
      <c r="B87" s="90" t="s">
        <v>165</v>
      </c>
      <c r="C87" s="64"/>
      <c r="D87" s="54"/>
      <c r="E87" s="67">
        <v>0.43</v>
      </c>
      <c r="F87" s="67"/>
      <c r="G87" s="67">
        <v>0.43</v>
      </c>
      <c r="H87" s="54"/>
      <c r="I87" s="54">
        <v>0.33</v>
      </c>
      <c r="J87" s="54"/>
      <c r="K87" s="54"/>
      <c r="L87" s="65">
        <v>0.33</v>
      </c>
      <c r="M87" s="64"/>
      <c r="N87" s="54"/>
      <c r="O87" s="54"/>
      <c r="P87" s="54"/>
      <c r="Q87" s="54"/>
      <c r="R87" s="54"/>
      <c r="S87" s="54"/>
      <c r="T87" s="54"/>
      <c r="U87" s="54"/>
      <c r="V87" s="65"/>
    </row>
    <row r="88" spans="1:22" ht="25.5">
      <c r="A88" s="21" t="s">
        <v>202</v>
      </c>
      <c r="B88" s="90" t="s">
        <v>203</v>
      </c>
      <c r="C88" s="64"/>
      <c r="D88" s="54"/>
      <c r="E88" s="54"/>
      <c r="F88" s="54"/>
      <c r="G88" s="54">
        <v>0</v>
      </c>
      <c r="H88" s="54"/>
      <c r="I88" s="54"/>
      <c r="J88" s="54"/>
      <c r="K88" s="54">
        <v>0.43</v>
      </c>
      <c r="L88" s="65">
        <v>0.43</v>
      </c>
      <c r="M88" s="64"/>
      <c r="N88" s="54"/>
      <c r="O88" s="54"/>
      <c r="P88" s="54"/>
      <c r="Q88" s="54"/>
      <c r="R88" s="54"/>
      <c r="S88" s="54"/>
      <c r="T88" s="54"/>
      <c r="U88" s="54"/>
      <c r="V88" s="65"/>
    </row>
    <row r="89" spans="1:22" ht="26.25" thickBot="1">
      <c r="A89" s="83" t="s">
        <v>204</v>
      </c>
      <c r="B89" s="97" t="s">
        <v>205</v>
      </c>
      <c r="C89" s="69"/>
      <c r="D89" s="70"/>
      <c r="E89" s="70"/>
      <c r="F89" s="84"/>
      <c r="G89" s="70">
        <v>0</v>
      </c>
      <c r="H89" s="70">
        <v>0.11</v>
      </c>
      <c r="I89" s="70"/>
      <c r="J89" s="70"/>
      <c r="K89" s="70"/>
      <c r="L89" s="71">
        <v>0.11</v>
      </c>
      <c r="M89" s="69"/>
      <c r="N89" s="70"/>
      <c r="O89" s="70"/>
      <c r="P89" s="70"/>
      <c r="Q89" s="70"/>
      <c r="R89" s="70"/>
      <c r="S89" s="70"/>
      <c r="T89" s="70"/>
      <c r="U89" s="70"/>
      <c r="V89" s="71"/>
    </row>
    <row r="90" spans="1:22" ht="15.7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6"/>
    </row>
    <row r="91" ht="15.75">
      <c r="B91" s="1" t="s">
        <v>112</v>
      </c>
    </row>
    <row r="92" spans="13:16" ht="15.75">
      <c r="M92" s="6"/>
      <c r="N92" s="6"/>
      <c r="O92" s="6"/>
      <c r="P92" s="6"/>
    </row>
    <row r="93" spans="13:16" ht="15.75">
      <c r="M93" s="6"/>
      <c r="N93" s="186"/>
      <c r="O93" s="186"/>
      <c r="P93" s="6"/>
    </row>
    <row r="94" spans="13:16" ht="26.25" customHeight="1">
      <c r="M94" s="6"/>
      <c r="N94" s="6"/>
      <c r="O94" s="6"/>
      <c r="P94" s="6"/>
    </row>
    <row r="95" ht="31.5" customHeight="1">
      <c r="A95" s="74"/>
    </row>
    <row r="96" ht="26.25" customHeight="1"/>
    <row r="97" ht="15.75">
      <c r="A97" s="9"/>
    </row>
  </sheetData>
  <sheetProtection/>
  <mergeCells count="13">
    <mergeCell ref="R5:V5"/>
    <mergeCell ref="C6:G6"/>
    <mergeCell ref="H6:L6"/>
    <mergeCell ref="M6:Q6"/>
    <mergeCell ref="R6:V6"/>
    <mergeCell ref="N93:O93"/>
    <mergeCell ref="A4:A7"/>
    <mergeCell ref="B4:B7"/>
    <mergeCell ref="C4:L4"/>
    <mergeCell ref="M4:V4"/>
    <mergeCell ref="C5:G5"/>
    <mergeCell ref="H5:L5"/>
    <mergeCell ref="M5:Q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4:B15 B24 B48:B53 B76 B85:B89 B61:B70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Борисов Александр Иванович</cp:lastModifiedBy>
  <cp:lastPrinted>2015-03-03T07:05:33Z</cp:lastPrinted>
  <dcterms:created xsi:type="dcterms:W3CDTF">2009-07-27T10:10:26Z</dcterms:created>
  <dcterms:modified xsi:type="dcterms:W3CDTF">2015-03-11T11:34:53Z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